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5390" windowHeight="8070"/>
  </bookViews>
  <sheets>
    <sheet name="Bioenergy Calculator" sheetId="4" r:id="rId1"/>
  </sheets>
  <externalReferences>
    <externalReference r:id="rId2"/>
  </externalReferences>
  <definedNames>
    <definedName name="CalculationEnd">'[1]Benefit Cost Calculator'!$272:$272</definedName>
    <definedName name="ImpactsEnd">[1]Impacts!$1942:$1942</definedName>
    <definedName name="OutputsEnd">[1]Outputs!$578:$578</definedName>
    <definedName name="OverviewEnd">'[1]Project Overview'!$570:$570</definedName>
    <definedName name="UsageEnd">[1]Usage!$1616:$1616</definedName>
  </definedNames>
  <calcPr calcId="125725"/>
</workbook>
</file>

<file path=xl/calcChain.xml><?xml version="1.0" encoding="utf-8"?>
<calcChain xmlns="http://schemas.openxmlformats.org/spreadsheetml/2006/main">
  <c r="C17" i="4"/>
  <c r="J41"/>
  <c r="BI43"/>
  <c r="BI58" s="1"/>
  <c r="BI42"/>
  <c r="C19"/>
  <c r="B52"/>
  <c r="AE43"/>
  <c r="BI71"/>
  <c r="BI69"/>
  <c r="BI66"/>
  <c r="BI44"/>
  <c r="C113"/>
  <c r="D113"/>
  <c r="C114"/>
  <c r="C120"/>
  <c r="D120"/>
  <c r="N120"/>
  <c r="C121"/>
  <c r="D121"/>
  <c r="N121"/>
  <c r="B51"/>
  <c r="B50"/>
  <c r="B49"/>
  <c r="B48"/>
  <c r="B47"/>
  <c r="B46"/>
  <c r="B45"/>
  <c r="B44"/>
  <c r="B43"/>
  <c r="B42"/>
  <c r="B41"/>
  <c r="B40"/>
  <c r="C8"/>
  <c r="C10"/>
  <c r="C11"/>
  <c r="C14"/>
  <c r="Z67"/>
  <c r="J60"/>
  <c r="N60"/>
  <c r="AU61"/>
  <c r="AQ61"/>
  <c r="AQ62"/>
  <c r="AM56"/>
  <c r="AM61"/>
  <c r="C34"/>
  <c r="N46"/>
  <c r="Z57"/>
  <c r="Z58"/>
  <c r="J46"/>
  <c r="AI56"/>
  <c r="AI71"/>
  <c r="AI73"/>
  <c r="AI74"/>
  <c r="BD47"/>
  <c r="AZ44"/>
  <c r="AE61"/>
  <c r="Z48"/>
  <c r="Z65"/>
  <c r="AE47"/>
  <c r="AE53"/>
  <c r="AE54" s="1"/>
  <c r="AE55" s="1"/>
  <c r="AE64"/>
  <c r="AE66"/>
  <c r="V48"/>
  <c r="V65"/>
  <c r="R53"/>
  <c r="R54"/>
  <c r="R65"/>
  <c r="N50"/>
  <c r="N52"/>
  <c r="N53" s="1"/>
  <c r="N54" s="1"/>
  <c r="N56"/>
  <c r="N57"/>
  <c r="N63"/>
  <c r="V61"/>
  <c r="AZ48"/>
  <c r="AM76"/>
  <c r="AQ77"/>
  <c r="AU77"/>
  <c r="D137"/>
  <c r="D138"/>
  <c r="D139"/>
  <c r="D140"/>
  <c r="AE42"/>
  <c r="J61"/>
  <c r="J42"/>
  <c r="J62"/>
  <c r="J64"/>
  <c r="J45"/>
  <c r="C99" s="1"/>
  <c r="C101" s="1"/>
  <c r="C103" s="1"/>
  <c r="J48"/>
  <c r="AZ51"/>
  <c r="AZ67"/>
  <c r="AZ50"/>
  <c r="AZ54"/>
  <c r="C50"/>
  <c r="N122"/>
  <c r="Q122"/>
  <c r="R122"/>
  <c r="T122"/>
  <c r="Q123"/>
  <c r="R123"/>
  <c r="T123"/>
  <c r="Q120"/>
  <c r="R120"/>
  <c r="T120"/>
  <c r="BD44"/>
  <c r="BD48"/>
  <c r="BD49"/>
  <c r="Q121"/>
  <c r="R121"/>
  <c r="T121"/>
  <c r="N113"/>
  <c r="D114"/>
  <c r="N114"/>
  <c r="AE49"/>
  <c r="AE67"/>
  <c r="AE46"/>
  <c r="AE48" s="1"/>
  <c r="AE63"/>
  <c r="AE65"/>
  <c r="J66"/>
  <c r="J67"/>
  <c r="J51"/>
  <c r="J53"/>
  <c r="C40" s="1"/>
  <c r="AE62"/>
  <c r="Q115"/>
  <c r="Q116"/>
  <c r="BD51"/>
  <c r="BD54"/>
  <c r="C51"/>
  <c r="BD50"/>
  <c r="BD67"/>
  <c r="J74"/>
  <c r="G40"/>
  <c r="C29"/>
  <c r="C30"/>
  <c r="AQ73"/>
  <c r="D115"/>
  <c r="D141"/>
  <c r="AZ63"/>
  <c r="AZ65"/>
  <c r="AZ62"/>
  <c r="Q113"/>
  <c r="Q114"/>
  <c r="AZ59"/>
  <c r="AZ55"/>
  <c r="D50"/>
  <c r="AE52"/>
  <c r="Q129"/>
  <c r="R129"/>
  <c r="R113"/>
  <c r="T113"/>
  <c r="AU73"/>
  <c r="AQ85"/>
  <c r="G48"/>
  <c r="Q132"/>
  <c r="R132"/>
  <c r="T132"/>
  <c r="R116"/>
  <c r="T116"/>
  <c r="Q130"/>
  <c r="R130"/>
  <c r="T130"/>
  <c r="R114"/>
  <c r="T114"/>
  <c r="AE68"/>
  <c r="AE75"/>
  <c r="G45"/>
  <c r="BD55"/>
  <c r="D51"/>
  <c r="BD59"/>
  <c r="AZ75"/>
  <c r="G50"/>
  <c r="AZ68"/>
  <c r="AZ70"/>
  <c r="R115"/>
  <c r="T115"/>
  <c r="Q131"/>
  <c r="R131"/>
  <c r="T131"/>
  <c r="BD62"/>
  <c r="AZ72"/>
  <c r="AZ73"/>
  <c r="BD75"/>
  <c r="G51"/>
  <c r="AU85"/>
  <c r="G49"/>
  <c r="C21"/>
  <c r="T129"/>
  <c r="E50"/>
  <c r="AZ71"/>
  <c r="F50"/>
  <c r="C24"/>
  <c r="N41"/>
  <c r="C27"/>
  <c r="C25"/>
  <c r="V63"/>
  <c r="R63"/>
  <c r="N45"/>
  <c r="V73"/>
  <c r="G43"/>
  <c r="R73"/>
  <c r="G42"/>
  <c r="N42"/>
  <c r="N62"/>
  <c r="N64"/>
  <c r="N48"/>
  <c r="N51"/>
  <c r="V64"/>
  <c r="V66"/>
  <c r="R64"/>
  <c r="R66"/>
  <c r="N61"/>
  <c r="R67"/>
  <c r="V41"/>
  <c r="Z41"/>
  <c r="R41"/>
  <c r="AM41"/>
  <c r="BD63"/>
  <c r="BD65"/>
  <c r="BD68"/>
  <c r="C28"/>
  <c r="V67"/>
  <c r="N65"/>
  <c r="N72"/>
  <c r="G41"/>
  <c r="BD70"/>
  <c r="BD72"/>
  <c r="V44"/>
  <c r="V46"/>
  <c r="V49"/>
  <c r="V52"/>
  <c r="V54"/>
  <c r="Z42"/>
  <c r="AM42"/>
  <c r="AI41"/>
  <c r="R42"/>
  <c r="AQ41"/>
  <c r="AM51"/>
  <c r="AM53"/>
  <c r="V59"/>
  <c r="C43"/>
  <c r="R44"/>
  <c r="R46"/>
  <c r="R49"/>
  <c r="R50"/>
  <c r="R55"/>
  <c r="R58"/>
  <c r="V69"/>
  <c r="E43"/>
  <c r="AU41"/>
  <c r="AQ51"/>
  <c r="AI46"/>
  <c r="AI48"/>
  <c r="AI51"/>
  <c r="AI53"/>
  <c r="AI43"/>
  <c r="AI52"/>
  <c r="AI54"/>
  <c r="Z44"/>
  <c r="Z46"/>
  <c r="Z64"/>
  <c r="Z66"/>
  <c r="Z68"/>
  <c r="Z49"/>
  <c r="Z52"/>
  <c r="Z54"/>
  <c r="Z63"/>
  <c r="E51"/>
  <c r="BD71"/>
  <c r="AQ42"/>
  <c r="AM52"/>
  <c r="AM54"/>
  <c r="AM46"/>
  <c r="AM48"/>
  <c r="F51"/>
  <c r="BD73"/>
  <c r="V60"/>
  <c r="D43"/>
  <c r="Z59"/>
  <c r="C44"/>
  <c r="AU42"/>
  <c r="AU46"/>
  <c r="AQ52"/>
  <c r="AQ46"/>
  <c r="AQ48"/>
  <c r="AM73"/>
  <c r="AM72"/>
  <c r="AM63"/>
  <c r="AM66"/>
  <c r="AM68"/>
  <c r="C47"/>
  <c r="Z75"/>
  <c r="G44"/>
  <c r="Z69"/>
  <c r="R60"/>
  <c r="C42"/>
  <c r="D42"/>
  <c r="Z60"/>
  <c r="AI70"/>
  <c r="AI72"/>
  <c r="AI60"/>
  <c r="AI63"/>
  <c r="AI65"/>
  <c r="C46"/>
  <c r="AJ69"/>
  <c r="AI69"/>
  <c r="V71"/>
  <c r="F43"/>
  <c r="Z71"/>
  <c r="E44"/>
  <c r="Z73"/>
  <c r="F44"/>
  <c r="D44"/>
  <c r="AM69"/>
  <c r="D47"/>
  <c r="AI81"/>
  <c r="G46"/>
  <c r="AI75"/>
  <c r="AI77"/>
  <c r="E46"/>
  <c r="AI66"/>
  <c r="R71"/>
  <c r="F42"/>
  <c r="R69"/>
  <c r="E42"/>
  <c r="AU51"/>
  <c r="AU49"/>
  <c r="AU52"/>
  <c r="AU58" s="1"/>
  <c r="AQ58"/>
  <c r="AQ54"/>
  <c r="AQ57"/>
  <c r="AM88"/>
  <c r="AM75"/>
  <c r="AM78"/>
  <c r="AI79"/>
  <c r="F46"/>
  <c r="D46"/>
  <c r="AM84"/>
  <c r="G47"/>
  <c r="AM80"/>
  <c r="E47"/>
  <c r="AM82"/>
  <c r="F47"/>
  <c r="AQ64"/>
  <c r="AQ67"/>
  <c r="AQ69"/>
  <c r="C48" s="1"/>
  <c r="AQ74"/>
  <c r="AU74"/>
  <c r="AQ76"/>
  <c r="AQ79"/>
  <c r="AQ89"/>
  <c r="AU89"/>
  <c r="AU76"/>
  <c r="AU79"/>
  <c r="J54" l="1"/>
  <c r="D40" s="1"/>
  <c r="BI45"/>
  <c r="BI72"/>
  <c r="BI47"/>
  <c r="BI60"/>
  <c r="BI59"/>
  <c r="BI68"/>
  <c r="BI70" s="1"/>
  <c r="BI67"/>
  <c r="J47"/>
  <c r="N47" s="1"/>
  <c r="J58"/>
  <c r="J71" s="1"/>
  <c r="AE59"/>
  <c r="AE72" s="1"/>
  <c r="F45" s="1"/>
  <c r="D41"/>
  <c r="D45"/>
  <c r="N58"/>
  <c r="N69" s="1"/>
  <c r="C41"/>
  <c r="C45"/>
  <c r="AU57"/>
  <c r="AU64"/>
  <c r="AU67" s="1"/>
  <c r="AU54"/>
  <c r="AQ81"/>
  <c r="E48" s="1"/>
  <c r="AQ70"/>
  <c r="AU69"/>
  <c r="AU81" s="1"/>
  <c r="E49" s="1"/>
  <c r="BI73" l="1"/>
  <c r="BI80"/>
  <c r="G52" s="1"/>
  <c r="BI52"/>
  <c r="BI53" s="1"/>
  <c r="BI49"/>
  <c r="J69"/>
  <c r="J70" s="1"/>
  <c r="AE70"/>
  <c r="E45" s="1"/>
  <c r="N67"/>
  <c r="E41" s="1"/>
  <c r="F41"/>
  <c r="N70"/>
  <c r="J72"/>
  <c r="F40"/>
  <c r="D48"/>
  <c r="AQ83"/>
  <c r="F48" s="1"/>
  <c r="AU70"/>
  <c r="AU83" s="1"/>
  <c r="F49" s="1"/>
  <c r="C49"/>
  <c r="BI54" l="1"/>
  <c r="BI50"/>
  <c r="BI55" s="1"/>
  <c r="E40"/>
  <c r="N68"/>
  <c r="D49"/>
  <c r="C52" l="1"/>
  <c r="BI64"/>
  <c r="BI75" s="1"/>
  <c r="E52" s="1"/>
  <c r="D52"/>
  <c r="BI77" l="1"/>
  <c r="F52" s="1"/>
</calcChain>
</file>

<file path=xl/sharedStrings.xml><?xml version="1.0" encoding="utf-8"?>
<sst xmlns="http://schemas.openxmlformats.org/spreadsheetml/2006/main" count="703" uniqueCount="216">
  <si>
    <t>kWh/t</t>
  </si>
  <si>
    <t>refrigeration energy</t>
  </si>
  <si>
    <t>= adjustable field</t>
  </si>
  <si>
    <t>grape crush</t>
  </si>
  <si>
    <t>t</t>
  </si>
  <si>
    <t>% red grapes</t>
  </si>
  <si>
    <t>dry marc equivalent</t>
  </si>
  <si>
    <t>HHV of grape marc</t>
  </si>
  <si>
    <t>MJ/kg</t>
  </si>
  <si>
    <t>total available chemical energy</t>
  </si>
  <si>
    <t>MJ</t>
  </si>
  <si>
    <t>kWh</t>
  </si>
  <si>
    <t>Winery Electricity demand per tonne</t>
  </si>
  <si>
    <t>Winery total Electricity demand</t>
  </si>
  <si>
    <t>Electricity cost + distribution/network costs</t>
  </si>
  <si>
    <t>$/kWhe</t>
  </si>
  <si>
    <t>Winery total Electricity cost</t>
  </si>
  <si>
    <t>Refrigeration fraction of total electricity</t>
  </si>
  <si>
    <t>Winery Fermentation refrigeration demand</t>
  </si>
  <si>
    <t>kWhe (see calc below)</t>
  </si>
  <si>
    <t>fermentation fraction of refrigeration electricity</t>
  </si>
  <si>
    <t>refrigeration COP</t>
  </si>
  <si>
    <t>fermentation refrigeration energy</t>
  </si>
  <si>
    <t>kWhr</t>
  </si>
  <si>
    <t>non-fermentation refrigeration energy</t>
  </si>
  <si>
    <t>Vintage length</t>
  </si>
  <si>
    <t>weeks</t>
  </si>
  <si>
    <t>fermentation refrigeration power</t>
  </si>
  <si>
    <t>kWr</t>
  </si>
  <si>
    <t>non-fermentation refrigeration power</t>
  </si>
  <si>
    <t>Ferment Refrigeration Energy Cost</t>
  </si>
  <si>
    <t>Non Ferment Refrigeration Energy Cost</t>
  </si>
  <si>
    <t>X weeks</t>
  </si>
  <si>
    <t>Daytime hours</t>
  </si>
  <si>
    <t>hours</t>
  </si>
  <si>
    <t>Daytime hours - non vintage</t>
  </si>
  <si>
    <t>Chemical-Electical efficiency</t>
  </si>
  <si>
    <t>Scenario 1 - non fermentation refrigeration electricity supplied by biomass energy</t>
  </si>
  <si>
    <t>Scenario 2 - ALL refrigeration (vintage AND non-vintage) supplied by biomass energy</t>
  </si>
  <si>
    <t>Scenario 3 - Solar Thermal to supplement Ferment Cooling</t>
  </si>
  <si>
    <t>Scenario 4 - Biomass powered Absorption Chiller for ferment cooling only</t>
  </si>
  <si>
    <t>Scenario 5 - Biomass powered Absorption Chiller for non-vintage refrigeration</t>
  </si>
  <si>
    <t>Scenario 7 - Solar Thermal to supplement Ferment Cooling and non-vintage refrigeration</t>
  </si>
  <si>
    <t>Scenario 8 - Solar Thermal to supplement non-ferment refrigeration</t>
  </si>
  <si>
    <t>Scenario 9 - Solar Thermal to supplement non-ferment refrigeration via absorption refrigeration (with energy storage)</t>
  </si>
  <si>
    <t>Scenario 10 - Solar Thermal + ORC Engine to supplement non-ferment refrigeration (with energy storage)</t>
  </si>
  <si>
    <t>Scenario 11 - supplimentary electricity supplied by AD</t>
  </si>
  <si>
    <t>(sized for daytime ferment refrigeration load)</t>
  </si>
  <si>
    <t>(sized for daytime non-ferment refrigeration load)</t>
  </si>
  <si>
    <t>Electrical energy - refrigeration, non vintage</t>
  </si>
  <si>
    <t>kWhe</t>
  </si>
  <si>
    <t>Electrical energy - refrigeration, fermentation</t>
  </si>
  <si>
    <t>kWr refrigeration for fermentation</t>
  </si>
  <si>
    <t>kW</t>
  </si>
  <si>
    <t>Volatile solids content of marc</t>
  </si>
  <si>
    <t>daytime kWr refrigeration for fermentation</t>
  </si>
  <si>
    <t>kWr refrigeration for non vintage</t>
  </si>
  <si>
    <t>Electrical energy - non refrigeration</t>
  </si>
  <si>
    <t>methane yield per unit of volatile solids</t>
  </si>
  <si>
    <t>m3/kg</t>
  </si>
  <si>
    <t>tons refrigeration</t>
  </si>
  <si>
    <t>tons</t>
  </si>
  <si>
    <t>Capacity buffer</t>
  </si>
  <si>
    <t>volume of methane</t>
  </si>
  <si>
    <t>m3</t>
  </si>
  <si>
    <t>required chemical energy</t>
  </si>
  <si>
    <t>required chemical energy - fermentation cooling</t>
  </si>
  <si>
    <t>cost per R ton (AR plant) ??</t>
  </si>
  <si>
    <t>per R ton</t>
  </si>
  <si>
    <t>LHV of methane</t>
  </si>
  <si>
    <t>MJ/m3</t>
  </si>
  <si>
    <t>time (operates 330 days per year)</t>
  </si>
  <si>
    <t>h</t>
  </si>
  <si>
    <t>time (operates X weeks per year)</t>
  </si>
  <si>
    <t>capex (AR unit)</t>
  </si>
  <si>
    <t>Elec requirements</t>
  </si>
  <si>
    <t>kWe</t>
  </si>
  <si>
    <t>efficiency</t>
  </si>
  <si>
    <t>rated power - thermal</t>
  </si>
  <si>
    <t>kWth</t>
  </si>
  <si>
    <t>rated power - thermal (vintage plus non-vintage)</t>
  </si>
  <si>
    <t>uptime</t>
  </si>
  <si>
    <t>rated power - electric</t>
  </si>
  <si>
    <t>rated power - electric (vintage plus non-vintage)</t>
  </si>
  <si>
    <t>COP</t>
  </si>
  <si>
    <t>Net Electrical Efficiency</t>
  </si>
  <si>
    <t>Power</t>
  </si>
  <si>
    <t>Energy</t>
  </si>
  <si>
    <t>daytime kW heat</t>
  </si>
  <si>
    <t>Required thermal energy</t>
  </si>
  <si>
    <t>Thermal energy</t>
  </si>
  <si>
    <t>add a capacity buffer of:</t>
  </si>
  <si>
    <t>Equivalent Electical Energy</t>
  </si>
  <si>
    <t>kWh heating per day</t>
  </si>
  <si>
    <t>kWh per day</t>
  </si>
  <si>
    <t>Cost $/kWe</t>
  </si>
  <si>
    <t>nominal rated power of plant</t>
  </si>
  <si>
    <t>Equivalent energy value (theoretical)</t>
  </si>
  <si>
    <t>$</t>
  </si>
  <si>
    <t>daytime kW heat - fermentation</t>
  </si>
  <si>
    <t>Capex (ORC Engine)</t>
  </si>
  <si>
    <t>Energy per year</t>
  </si>
  <si>
    <t>equivalent energy per year</t>
  </si>
  <si>
    <t>plant unit cost</t>
  </si>
  <si>
    <t>$/kWe</t>
  </si>
  <si>
    <t>Average Daily solar radiation (vintage period, Riverina) - source BOM</t>
  </si>
  <si>
    <t>MJ/m2/day</t>
  </si>
  <si>
    <t>nominal boiler size</t>
  </si>
  <si>
    <t>daytime kW heat - non-vintage</t>
  </si>
  <si>
    <t>capex (no grant)</t>
  </si>
  <si>
    <t>kWh/m2/day</t>
  </si>
  <si>
    <t>$/kWth</t>
  </si>
  <si>
    <t>kWh heating per day - fermentation</t>
  </si>
  <si>
    <t>Storage efficiency</t>
  </si>
  <si>
    <t>capex after grant assistance</t>
  </si>
  <si>
    <t>Collector-AR thermal efficiency</t>
  </si>
  <si>
    <t>kWh heating per day - non-vintage</t>
  </si>
  <si>
    <t>nighttime kW heating per day - non vintage</t>
  </si>
  <si>
    <t>required solar collection area</t>
  </si>
  <si>
    <t>m2</t>
  </si>
  <si>
    <t>Average Daily solar radiation (Riverina) - Source BOM</t>
  </si>
  <si>
    <t>O&amp;M</t>
  </si>
  <si>
    <t>every 5 years</t>
  </si>
  <si>
    <t>Storage cost per kW</t>
  </si>
  <si>
    <t>???</t>
  </si>
  <si>
    <t>Project Lifetime</t>
  </si>
  <si>
    <t>years</t>
  </si>
  <si>
    <t>Solar collector unit cost ??</t>
  </si>
  <si>
    <t xml:space="preserve"> per m2</t>
  </si>
  <si>
    <t>Time fermentation</t>
  </si>
  <si>
    <t>Storage Cost</t>
  </si>
  <si>
    <t>O&amp;M Cost</t>
  </si>
  <si>
    <t>Solar array capex</t>
  </si>
  <si>
    <t>Time non vintage</t>
  </si>
  <si>
    <t>heat losses</t>
  </si>
  <si>
    <t xml:space="preserve"> solar kWh heating per day - non-vintage</t>
  </si>
  <si>
    <t>Project capex</t>
  </si>
  <si>
    <t>Electricity cost savings</t>
  </si>
  <si>
    <t>carbon emissions of displaced electricity</t>
  </si>
  <si>
    <t>t CO2e</t>
  </si>
  <si>
    <t>Lifetime</t>
  </si>
  <si>
    <t>carbon price</t>
  </si>
  <si>
    <t>$/t CO2e</t>
  </si>
  <si>
    <t>value of avoided electricity</t>
  </si>
  <si>
    <t>carbon cost</t>
  </si>
  <si>
    <t>Demand unit cost</t>
  </si>
  <si>
    <t>per kW</t>
  </si>
  <si>
    <t>total savings (elec cost + carbon cost)</t>
  </si>
  <si>
    <t>offset Demand cost pa</t>
  </si>
  <si>
    <t>simple payback</t>
  </si>
  <si>
    <t>every 3 years</t>
  </si>
  <si>
    <t>simple payback with grant</t>
  </si>
  <si>
    <t>total savings (elec cost +demand cost + carbon cost)</t>
  </si>
  <si>
    <t>Electricity saving (from site total)</t>
  </si>
  <si>
    <t>waste heat</t>
  </si>
  <si>
    <t>usable waste heat</t>
  </si>
  <si>
    <t>AR COP</t>
  </si>
  <si>
    <t>AR refrigeration output</t>
  </si>
  <si>
    <t>Grant assistance</t>
  </si>
  <si>
    <t>Fermentation Refrigeration Demand</t>
  </si>
  <si>
    <t>Carbon emissions of "average car"</t>
  </si>
  <si>
    <t>t CO2e per annum</t>
  </si>
  <si>
    <t>Yield</t>
  </si>
  <si>
    <t>L/t</t>
  </si>
  <si>
    <t>Fermentation heat release</t>
  </si>
  <si>
    <t>Fermentation duration</t>
  </si>
  <si>
    <t>Equivalent number of cars displaced</t>
  </si>
  <si>
    <t>(Source: Boulton et al, 1996)</t>
  </si>
  <si>
    <t>tonnes</t>
  </si>
  <si>
    <t>Litres</t>
  </si>
  <si>
    <t>W/L</t>
  </si>
  <si>
    <t>days</t>
  </si>
  <si>
    <t>kWh r</t>
  </si>
  <si>
    <t>kWh e</t>
  </si>
  <si>
    <t>White Crush</t>
  </si>
  <si>
    <t>Red Crush</t>
  </si>
  <si>
    <t>Average</t>
  </si>
  <si>
    <t>Must Cooling</t>
  </si>
  <si>
    <t>Pre chilled must Temp</t>
  </si>
  <si>
    <t>C</t>
  </si>
  <si>
    <t>Exit Temp</t>
  </si>
  <si>
    <t>Refrigeration Energy</t>
  </si>
  <si>
    <t>kJ</t>
  </si>
  <si>
    <t>Electrical Energy</t>
  </si>
  <si>
    <t>Energy Cost</t>
  </si>
  <si>
    <t>Energy cost per kL</t>
  </si>
  <si>
    <t>$ per kL</t>
  </si>
  <si>
    <t>Energy fraction to be supplemented by bioenergy</t>
  </si>
  <si>
    <t xml:space="preserve">Electrical energy - refrigeration, non fermentation </t>
  </si>
  <si>
    <t>Winery Data</t>
  </si>
  <si>
    <t>Total energy value of grape marc when converted to electricity</t>
  </si>
  <si>
    <t>Summary of technology options</t>
  </si>
  <si>
    <t>Simple payback (years)</t>
  </si>
  <si>
    <t>Simple payback with grant (years)</t>
  </si>
  <si>
    <t>Grid Energy Savings (%)</t>
  </si>
  <si>
    <t>Scenario 12 - supplimentary refrigeration supplied by AD powered refrigeration compressor</t>
  </si>
  <si>
    <t>Calculation Data</t>
  </si>
  <si>
    <t>Capex</t>
  </si>
  <si>
    <t>Capex (with grant)</t>
  </si>
  <si>
    <t>(Compare this with annual site electricity costs...)</t>
  </si>
  <si>
    <t>Electricity cost + distribution/network costs (average of peak and off-peak)</t>
  </si>
  <si>
    <t>Scenario 6 - site electricity supplemented by biomass energy (using gasification technology)</t>
  </si>
  <si>
    <t>Net Electrical Efficiency - ORC engine</t>
  </si>
  <si>
    <t>% of available chemical energy</t>
  </si>
  <si>
    <t>ORC plant unit cost</t>
  </si>
  <si>
    <t>ORC capex (no grant)</t>
  </si>
  <si>
    <t>ORC capex after grant assistance</t>
  </si>
  <si>
    <t>Boiler systems capital cost</t>
  </si>
  <si>
    <t>thermal rate</t>
  </si>
  <si>
    <t>kwth</t>
  </si>
  <si>
    <t>Boiler capex (no grant)</t>
  </si>
  <si>
    <t>Boiler capex after grant assistance</t>
  </si>
  <si>
    <t>Total capex (no grant)</t>
  </si>
  <si>
    <t>Total capex after grant assistance</t>
  </si>
  <si>
    <t>$/kW</t>
  </si>
  <si>
    <t>Scenario 13 -  site electricity (except vintage refrigeration) supplemented by biomass energy (using ORC technology)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</si>
</sst>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0.0%"/>
    <numFmt numFmtId="165" formatCode="_-&quot;$&quot;* #,##0.0000_-;\-&quot;$&quot;* #,##0.0000_-;_-&quot;$&quot;* &quot;-&quot;??_-;_-@_-"/>
    <numFmt numFmtId="166" formatCode="0.0"/>
    <numFmt numFmtId="167" formatCode="_-&quot;$&quot;* #,##0_-;\-&quot;$&quot;* #,##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64" fontId="0" fillId="0" borderId="0" xfId="2" applyNumberFormat="1" applyFont="1"/>
    <xf numFmtId="0" fontId="0" fillId="2" borderId="0" xfId="0" applyFill="1"/>
    <xf numFmtId="165" fontId="0" fillId="2" borderId="0" xfId="1" applyNumberFormat="1" applyFont="1" applyFill="1"/>
    <xf numFmtId="9" fontId="0" fillId="0" borderId="0" xfId="0" applyNumberFormat="1"/>
    <xf numFmtId="0" fontId="5" fillId="7" borderId="0" xfId="0" applyFont="1" applyFill="1" applyAlignment="1">
      <alignment wrapText="1"/>
    </xf>
    <xf numFmtId="44" fontId="5" fillId="7" borderId="0" xfId="0" applyNumberFormat="1" applyFont="1" applyFill="1"/>
    <xf numFmtId="44" fontId="0" fillId="0" borderId="0" xfId="1" applyFont="1"/>
    <xf numFmtId="0" fontId="4" fillId="0" borderId="1" xfId="0" applyFont="1" applyBorder="1"/>
    <xf numFmtId="9" fontId="4" fillId="2" borderId="2" xfId="2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7" borderId="14" xfId="0" applyFill="1" applyBorder="1"/>
    <xf numFmtId="166" fontId="0" fillId="7" borderId="0" xfId="0" applyNumberFormat="1" applyFill="1" applyBorder="1"/>
    <xf numFmtId="9" fontId="0" fillId="7" borderId="15" xfId="2" applyFont="1" applyFill="1" applyBorder="1"/>
    <xf numFmtId="0" fontId="0" fillId="0" borderId="14" xfId="0" applyBorder="1"/>
    <xf numFmtId="166" fontId="0" fillId="0" borderId="0" xfId="0" applyNumberFormat="1" applyBorder="1"/>
    <xf numFmtId="9" fontId="0" fillId="0" borderId="15" xfId="2" applyFont="1" applyBorder="1"/>
    <xf numFmtId="0" fontId="4" fillId="3" borderId="11" xfId="0" applyFont="1" applyFill="1" applyBorder="1" applyAlignment="1">
      <alignment wrapText="1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0" xfId="0" applyFill="1" applyBorder="1"/>
    <xf numFmtId="0" fontId="0" fillId="3" borderId="15" xfId="0" applyFill="1" applyBorder="1"/>
    <xf numFmtId="9" fontId="0" fillId="3" borderId="0" xfId="2" applyFont="1" applyFill="1" applyBorder="1"/>
    <xf numFmtId="0" fontId="0" fillId="2" borderId="0" xfId="0" applyFill="1" applyBorder="1"/>
    <xf numFmtId="0" fontId="0" fillId="3" borderId="16" xfId="0" applyFill="1" applyBorder="1"/>
    <xf numFmtId="0" fontId="0" fillId="3" borderId="18" xfId="0" applyFill="1" applyBorder="1"/>
    <xf numFmtId="9" fontId="0" fillId="3" borderId="17" xfId="2" applyFont="1" applyFill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0" borderId="0" xfId="2" applyFont="1" applyBorder="1"/>
    <xf numFmtId="9" fontId="0" fillId="0" borderId="17" xfId="2" applyFont="1" applyBorder="1"/>
    <xf numFmtId="0" fontId="4" fillId="5" borderId="11" xfId="0" applyFont="1" applyFill="1" applyBorder="1" applyAlignment="1">
      <alignment wrapText="1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0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8" xfId="0" applyFill="1" applyBorder="1"/>
    <xf numFmtId="9" fontId="0" fillId="5" borderId="17" xfId="2" applyFont="1" applyFill="1" applyBorder="1"/>
    <xf numFmtId="0" fontId="4" fillId="2" borderId="11" xfId="0" applyFont="1" applyFill="1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4" fontId="0" fillId="2" borderId="0" xfId="0" applyNumberFormat="1" applyFill="1" applyBorder="1"/>
    <xf numFmtId="9" fontId="0" fillId="2" borderId="0" xfId="2" applyFont="1" applyFill="1" applyBorder="1"/>
    <xf numFmtId="0" fontId="0" fillId="2" borderId="16" xfId="0" applyFill="1" applyBorder="1"/>
    <xf numFmtId="0" fontId="0" fillId="2" borderId="18" xfId="0" applyFill="1" applyBorder="1"/>
    <xf numFmtId="9" fontId="0" fillId="2" borderId="17" xfId="2" applyFont="1" applyFill="1" applyBorder="1"/>
    <xf numFmtId="0" fontId="6" fillId="4" borderId="11" xfId="0" applyFont="1" applyFill="1" applyBorder="1" applyAlignment="1">
      <alignment wrapText="1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4" borderId="0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3" fillId="4" borderId="18" xfId="0" applyFont="1" applyFill="1" applyBorder="1"/>
    <xf numFmtId="9" fontId="3" fillId="4" borderId="17" xfId="2" applyFont="1" applyFill="1" applyBorder="1"/>
    <xf numFmtId="0" fontId="4" fillId="6" borderId="11" xfId="0" applyFont="1" applyFill="1" applyBorder="1" applyAlignment="1">
      <alignment wrapText="1"/>
    </xf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0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8" xfId="0" applyFill="1" applyBorder="1"/>
    <xf numFmtId="9" fontId="0" fillId="6" borderId="17" xfId="2" applyFont="1" applyFill="1" applyBorder="1"/>
    <xf numFmtId="166" fontId="0" fillId="3" borderId="0" xfId="0" applyNumberFormat="1" applyFill="1" applyBorder="1"/>
    <xf numFmtId="166" fontId="0" fillId="5" borderId="0" xfId="0" applyNumberFormat="1" applyFill="1" applyBorder="1"/>
    <xf numFmtId="166" fontId="0" fillId="2" borderId="0" xfId="0" applyNumberFormat="1" applyFill="1" applyBorder="1"/>
    <xf numFmtId="0" fontId="4" fillId="0" borderId="11" xfId="2" applyNumberFormat="1" applyFont="1" applyBorder="1" applyAlignment="1">
      <alignment wrapText="1"/>
    </xf>
    <xf numFmtId="0" fontId="0" fillId="0" borderId="12" xfId="2" applyNumberFormat="1" applyFont="1" applyBorder="1"/>
    <xf numFmtId="0" fontId="0" fillId="0" borderId="13" xfId="2" applyNumberFormat="1" applyFont="1" applyBorder="1"/>
    <xf numFmtId="0" fontId="0" fillId="0" borderId="14" xfId="2" applyNumberFormat="1" applyFont="1" applyBorder="1"/>
    <xf numFmtId="0" fontId="0" fillId="0" borderId="0" xfId="2" applyNumberFormat="1" applyFont="1" applyBorder="1"/>
    <xf numFmtId="0" fontId="0" fillId="0" borderId="15" xfId="2" applyNumberFormat="1" applyFont="1" applyBorder="1"/>
    <xf numFmtId="0" fontId="0" fillId="0" borderId="16" xfId="2" applyNumberFormat="1" applyFont="1" applyBorder="1"/>
    <xf numFmtId="0" fontId="0" fillId="0" borderId="17" xfId="2" applyNumberFormat="1" applyFont="1" applyBorder="1"/>
    <xf numFmtId="0" fontId="0" fillId="0" borderId="18" xfId="2" applyNumberFormat="1" applyFont="1" applyBorder="1"/>
    <xf numFmtId="166" fontId="0" fillId="0" borderId="0" xfId="2" applyNumberFormat="1" applyFont="1" applyBorder="1"/>
    <xf numFmtId="166" fontId="3" fillId="4" borderId="0" xfId="0" applyNumberFormat="1" applyFont="1" applyFill="1" applyBorder="1"/>
    <xf numFmtId="9" fontId="3" fillId="4" borderId="0" xfId="2" applyFont="1" applyFill="1" applyBorder="1"/>
    <xf numFmtId="166" fontId="0" fillId="6" borderId="0" xfId="0" applyNumberFormat="1" applyFill="1" applyBorder="1"/>
    <xf numFmtId="9" fontId="0" fillId="6" borderId="0" xfId="2" applyFont="1" applyFill="1" applyBorder="1"/>
    <xf numFmtId="0" fontId="4" fillId="0" borderId="12" xfId="0" applyFont="1" applyBorder="1"/>
    <xf numFmtId="167" fontId="0" fillId="7" borderId="0" xfId="1" applyNumberFormat="1" applyFont="1" applyFill="1" applyBorder="1"/>
    <xf numFmtId="167" fontId="0" fillId="0" borderId="0" xfId="1" applyNumberFormat="1" applyFont="1" applyBorder="1"/>
    <xf numFmtId="0" fontId="0" fillId="8" borderId="14" xfId="0" applyFill="1" applyBorder="1"/>
    <xf numFmtId="167" fontId="0" fillId="8" borderId="0" xfId="1" applyNumberFormat="1" applyFont="1" applyFill="1" applyBorder="1"/>
    <xf numFmtId="166" fontId="0" fillId="8" borderId="0" xfId="0" applyNumberFormat="1" applyFill="1" applyBorder="1"/>
    <xf numFmtId="9" fontId="0" fillId="8" borderId="15" xfId="2" applyFont="1" applyFill="1" applyBorder="1"/>
    <xf numFmtId="167" fontId="0" fillId="2" borderId="0" xfId="1" applyNumberFormat="1" applyFont="1" applyFill="1" applyBorder="1"/>
    <xf numFmtId="9" fontId="0" fillId="2" borderId="15" xfId="2" applyFont="1" applyFill="1" applyBorder="1"/>
    <xf numFmtId="167" fontId="0" fillId="2" borderId="17" xfId="1" applyNumberFormat="1" applyFont="1" applyFill="1" applyBorder="1"/>
    <xf numFmtId="166" fontId="0" fillId="2" borderId="17" xfId="0" applyNumberFormat="1" applyFill="1" applyBorder="1"/>
    <xf numFmtId="9" fontId="0" fillId="2" borderId="18" xfId="2" applyFont="1" applyFill="1" applyBorder="1"/>
    <xf numFmtId="0" fontId="7" fillId="0" borderId="0" xfId="0" applyFont="1"/>
    <xf numFmtId="165" fontId="0" fillId="2" borderId="0" xfId="0" applyNumberFormat="1" applyFill="1" applyBorder="1"/>
    <xf numFmtId="167" fontId="0" fillId="2" borderId="0" xfId="0" applyNumberFormat="1" applyFill="1" applyBorder="1"/>
    <xf numFmtId="44" fontId="0" fillId="2" borderId="0" xfId="0" applyNumberFormat="1" applyFill="1" applyBorder="1"/>
    <xf numFmtId="167" fontId="0" fillId="3" borderId="0" xfId="1" applyNumberFormat="1" applyFont="1" applyFill="1" applyBorder="1"/>
    <xf numFmtId="44" fontId="0" fillId="0" borderId="0" xfId="1" applyFont="1" applyBorder="1"/>
    <xf numFmtId="167" fontId="0" fillId="5" borderId="0" xfId="1" applyNumberFormat="1" applyFont="1" applyFill="1" applyBorder="1"/>
    <xf numFmtId="167" fontId="3" fillId="4" borderId="0" xfId="1" applyNumberFormat="1" applyFont="1" applyFill="1" applyBorder="1"/>
    <xf numFmtId="167" fontId="0" fillId="6" borderId="0" xfId="1" applyNumberFormat="1" applyFont="1" applyFill="1" applyBorder="1"/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se.awri.com.au/sites/Projects/Directory/review/Project%20Documents/Impact%20Assessment%20-%20Stream%202_3%20and%202_4%20new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Overview"/>
      <sheetName val="Inputs"/>
      <sheetName val="Activities"/>
      <sheetName val="Outputs"/>
      <sheetName val="Usage"/>
      <sheetName val="Impacts"/>
      <sheetName val="Risk Analysis"/>
      <sheetName val="Benefit Cost Calculator"/>
      <sheetName val="Additional Information"/>
      <sheetName val="working sheet_Portal"/>
    </sheetNames>
    <sheetDataSet>
      <sheetData sheetId="0"/>
      <sheetData sheetId="1"/>
      <sheetData sheetId="2"/>
      <sheetData sheetId="3"/>
      <sheetData sheetId="4">
        <row r="932">
          <cell r="B932">
            <v>0</v>
          </cell>
        </row>
      </sheetData>
      <sheetData sheetId="5">
        <row r="1072">
          <cell r="G1072">
            <v>7014375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BM154"/>
  <sheetViews>
    <sheetView tabSelected="1" zoomScale="85" zoomScaleNormal="85" workbookViewId="0">
      <selection activeCell="B4" sqref="B4"/>
    </sheetView>
  </sheetViews>
  <sheetFormatPr defaultRowHeight="15"/>
  <cols>
    <col min="2" max="2" width="99.85546875" customWidth="1"/>
    <col min="3" max="3" width="23.140625" bestFit="1" customWidth="1"/>
    <col min="4" max="4" width="19.140625" customWidth="1"/>
    <col min="5" max="5" width="11.28515625" bestFit="1" customWidth="1"/>
    <col min="6" max="8" width="11.28515625" customWidth="1"/>
    <col min="9" max="9" width="51" customWidth="1"/>
    <col min="10" max="12" width="11.28515625" customWidth="1"/>
    <col min="13" max="13" width="52.28515625" customWidth="1"/>
    <col min="14" max="14" width="16.85546875" bestFit="1" customWidth="1"/>
    <col min="15" max="15" width="14.5703125" bestFit="1" customWidth="1"/>
    <col min="17" max="17" width="34.5703125" customWidth="1"/>
    <col min="18" max="18" width="20.28515625" bestFit="1" customWidth="1"/>
    <col min="19" max="19" width="14.5703125" bestFit="1" customWidth="1"/>
    <col min="20" max="20" width="9.7109375" bestFit="1" customWidth="1"/>
    <col min="21" max="21" width="48" customWidth="1"/>
    <col min="22" max="22" width="12.5703125" bestFit="1" customWidth="1"/>
    <col min="23" max="23" width="14.5703125" bestFit="1" customWidth="1"/>
    <col min="25" max="25" width="65.42578125" customWidth="1"/>
    <col min="26" max="26" width="15.5703125" bestFit="1" customWidth="1"/>
    <col min="27" max="27" width="14.5703125" bestFit="1" customWidth="1"/>
    <col min="30" max="30" width="48.5703125" customWidth="1"/>
    <col min="31" max="31" width="21.7109375" bestFit="1" customWidth="1"/>
    <col min="32" max="32" width="14.5703125" bestFit="1" customWidth="1"/>
    <col min="34" max="34" width="58.85546875" bestFit="1" customWidth="1"/>
    <col min="35" max="35" width="14.28515625" bestFit="1" customWidth="1"/>
    <col min="36" max="36" width="12" bestFit="1" customWidth="1"/>
    <col min="38" max="38" width="37" customWidth="1"/>
    <col min="39" max="39" width="21.7109375" bestFit="1" customWidth="1"/>
    <col min="40" max="41" width="15.5703125" customWidth="1"/>
    <col min="42" max="42" width="61.5703125" customWidth="1"/>
    <col min="43" max="43" width="21.7109375" bestFit="1" customWidth="1"/>
    <col min="44" max="45" width="15.5703125" customWidth="1"/>
    <col min="46" max="46" width="55.7109375" customWidth="1"/>
    <col min="47" max="49" width="15.5703125" customWidth="1"/>
    <col min="51" max="51" width="51.28515625" bestFit="1" customWidth="1"/>
    <col min="52" max="52" width="21.7109375" bestFit="1" customWidth="1"/>
    <col min="55" max="55" width="51.5703125" customWidth="1"/>
    <col min="56" max="56" width="21.7109375" bestFit="1" customWidth="1"/>
    <col min="60" max="60" width="48.5703125" bestFit="1" customWidth="1"/>
    <col min="61" max="61" width="12.5703125" bestFit="1" customWidth="1"/>
  </cols>
  <sheetData>
    <row r="2" spans="2:4">
      <c r="C2" s="2"/>
      <c r="D2" t="s">
        <v>2</v>
      </c>
    </row>
    <row r="4" spans="2:4">
      <c r="B4" t="s">
        <v>189</v>
      </c>
    </row>
    <row r="6" spans="2:4">
      <c r="B6" t="s">
        <v>3</v>
      </c>
      <c r="C6" s="2">
        <v>10000</v>
      </c>
      <c r="D6" t="s">
        <v>4</v>
      </c>
    </row>
    <row r="7" spans="2:4">
      <c r="B7" t="s">
        <v>5</v>
      </c>
      <c r="C7" s="2">
        <v>0.5</v>
      </c>
    </row>
    <row r="8" spans="2:4">
      <c r="B8" t="s">
        <v>6</v>
      </c>
      <c r="C8">
        <f>C6*0.15*0.5</f>
        <v>750</v>
      </c>
      <c r="D8" t="s">
        <v>4</v>
      </c>
    </row>
    <row r="9" spans="2:4">
      <c r="B9" t="s">
        <v>7</v>
      </c>
      <c r="C9">
        <v>19</v>
      </c>
      <c r="D9" t="s">
        <v>8</v>
      </c>
    </row>
    <row r="10" spans="2:4">
      <c r="B10" t="s">
        <v>9</v>
      </c>
      <c r="C10">
        <f>C9*1000*C8</f>
        <v>14250000</v>
      </c>
      <c r="D10" t="s">
        <v>10</v>
      </c>
    </row>
    <row r="11" spans="2:4">
      <c r="B11" t="s">
        <v>9</v>
      </c>
      <c r="C11">
        <f>C10/3.6</f>
        <v>3958333.333333333</v>
      </c>
      <c r="D11" t="s">
        <v>11</v>
      </c>
    </row>
    <row r="12" spans="2:4">
      <c r="B12" t="s">
        <v>36</v>
      </c>
      <c r="C12" s="1">
        <v>0.18</v>
      </c>
    </row>
    <row r="14" spans="2:4" ht="48" customHeight="1">
      <c r="B14" s="5" t="s">
        <v>190</v>
      </c>
      <c r="C14" s="6">
        <f>C11*C12*C18</f>
        <v>149624.99999999997</v>
      </c>
      <c r="D14" s="114" t="s">
        <v>199</v>
      </c>
    </row>
    <row r="16" spans="2:4">
      <c r="B16" t="s">
        <v>12</v>
      </c>
      <c r="C16" s="2">
        <v>130</v>
      </c>
      <c r="D16" t="s">
        <v>0</v>
      </c>
    </row>
    <row r="17" spans="2:4">
      <c r="B17" t="s">
        <v>13</v>
      </c>
      <c r="C17">
        <f>C16*C6</f>
        <v>1300000</v>
      </c>
      <c r="D17" t="s">
        <v>11</v>
      </c>
    </row>
    <row r="18" spans="2:4">
      <c r="B18" t="s">
        <v>200</v>
      </c>
      <c r="C18" s="3">
        <v>0.21</v>
      </c>
      <c r="D18" t="s">
        <v>15</v>
      </c>
    </row>
    <row r="19" spans="2:4">
      <c r="B19" t="s">
        <v>16</v>
      </c>
      <c r="C19" s="7">
        <f>C17*C18</f>
        <v>273000</v>
      </c>
    </row>
    <row r="20" spans="2:4">
      <c r="B20" t="s">
        <v>17</v>
      </c>
      <c r="C20" s="1">
        <v>0.5</v>
      </c>
    </row>
    <row r="21" spans="2:4">
      <c r="B21" t="s">
        <v>18</v>
      </c>
      <c r="C21">
        <f>R129+R131</f>
        <v>249235.71428571426</v>
      </c>
      <c r="D21" t="s">
        <v>19</v>
      </c>
    </row>
    <row r="22" spans="2:4">
      <c r="B22" t="s">
        <v>20</v>
      </c>
      <c r="C22" s="4">
        <v>0.5</v>
      </c>
    </row>
    <row r="23" spans="2:4">
      <c r="B23" t="s">
        <v>21</v>
      </c>
      <c r="C23">
        <v>2.1</v>
      </c>
    </row>
    <row r="24" spans="2:4">
      <c r="B24" t="s">
        <v>22</v>
      </c>
      <c r="C24">
        <f>C21*C23</f>
        <v>523394.99999999994</v>
      </c>
      <c r="D24" t="s">
        <v>23</v>
      </c>
    </row>
    <row r="25" spans="2:4">
      <c r="B25" t="s">
        <v>24</v>
      </c>
      <c r="C25">
        <f>C24/C22*(1-C22)</f>
        <v>523394.99999999994</v>
      </c>
      <c r="D25" t="s">
        <v>23</v>
      </c>
    </row>
    <row r="26" spans="2:4">
      <c r="B26" t="s">
        <v>25</v>
      </c>
      <c r="C26">
        <v>10</v>
      </c>
      <c r="D26" t="s">
        <v>26</v>
      </c>
    </row>
    <row r="27" spans="2:4">
      <c r="B27" t="s">
        <v>27</v>
      </c>
      <c r="C27">
        <f>C24/(C26*7*24)</f>
        <v>311.54464285714283</v>
      </c>
      <c r="D27" t="s">
        <v>28</v>
      </c>
    </row>
    <row r="28" spans="2:4">
      <c r="B28" t="s">
        <v>29</v>
      </c>
      <c r="C28">
        <f>C25/(52*7*24)</f>
        <v>59.912431318681314</v>
      </c>
      <c r="D28" t="s">
        <v>28</v>
      </c>
    </row>
    <row r="29" spans="2:4">
      <c r="B29" t="s">
        <v>30</v>
      </c>
      <c r="C29">
        <f>C19*C20*C22</f>
        <v>68250</v>
      </c>
    </row>
    <row r="30" spans="2:4">
      <c r="B30" t="s">
        <v>31</v>
      </c>
      <c r="C30">
        <f>C19*C20*(1-C22)</f>
        <v>68250</v>
      </c>
    </row>
    <row r="32" spans="2:4">
      <c r="B32" s="8" t="s">
        <v>158</v>
      </c>
      <c r="C32" s="9">
        <v>0.33</v>
      </c>
    </row>
    <row r="33" spans="2:62">
      <c r="B33" s="19"/>
    </row>
    <row r="34" spans="2:62">
      <c r="B34" t="s">
        <v>25</v>
      </c>
      <c r="C34">
        <f>C26</f>
        <v>10</v>
      </c>
      <c r="D34" t="s">
        <v>32</v>
      </c>
    </row>
    <row r="35" spans="2:62">
      <c r="B35" t="s">
        <v>33</v>
      </c>
      <c r="C35">
        <v>10</v>
      </c>
      <c r="D35" t="s">
        <v>34</v>
      </c>
    </row>
    <row r="36" spans="2:62">
      <c r="B36" t="s">
        <v>35</v>
      </c>
      <c r="C36">
        <v>8</v>
      </c>
      <c r="D36" t="s">
        <v>34</v>
      </c>
    </row>
    <row r="38" spans="2:62" ht="15.75" thickBot="1"/>
    <row r="39" spans="2:62" ht="62.25" customHeight="1">
      <c r="B39" s="20" t="s">
        <v>191</v>
      </c>
      <c r="C39" s="102" t="s">
        <v>197</v>
      </c>
      <c r="D39" s="102" t="s">
        <v>198</v>
      </c>
      <c r="E39" s="21" t="s">
        <v>192</v>
      </c>
      <c r="F39" s="21" t="s">
        <v>193</v>
      </c>
      <c r="G39" s="22" t="s">
        <v>194</v>
      </c>
      <c r="I39" s="29" t="s">
        <v>37</v>
      </c>
      <c r="J39" s="30"/>
      <c r="K39" s="31"/>
      <c r="M39" s="20" t="s">
        <v>38</v>
      </c>
      <c r="N39" s="40"/>
      <c r="O39" s="41"/>
      <c r="Q39" s="20" t="s">
        <v>39</v>
      </c>
      <c r="R39" s="40"/>
      <c r="S39" s="41"/>
      <c r="U39" s="20" t="s">
        <v>40</v>
      </c>
      <c r="V39" s="40"/>
      <c r="W39" s="41"/>
      <c r="Y39" s="48" t="s">
        <v>41</v>
      </c>
      <c r="Z39" s="49"/>
      <c r="AA39" s="50"/>
      <c r="AD39" s="57" t="s">
        <v>201</v>
      </c>
      <c r="AE39" s="58"/>
      <c r="AF39" s="59"/>
      <c r="AH39" s="20" t="s">
        <v>42</v>
      </c>
      <c r="AI39" s="40"/>
      <c r="AJ39" s="41"/>
      <c r="AL39" s="88" t="s">
        <v>43</v>
      </c>
      <c r="AM39" s="89"/>
      <c r="AN39" s="90"/>
      <c r="AP39" s="20" t="s">
        <v>44</v>
      </c>
      <c r="AQ39" s="40"/>
      <c r="AR39" s="41"/>
      <c r="AT39" s="20" t="s">
        <v>45</v>
      </c>
      <c r="AU39" s="40"/>
      <c r="AV39" s="41"/>
      <c r="AY39" s="67" t="s">
        <v>46</v>
      </c>
      <c r="AZ39" s="68"/>
      <c r="BA39" s="69"/>
      <c r="BC39" s="76" t="s">
        <v>195</v>
      </c>
      <c r="BD39" s="77"/>
      <c r="BE39" s="78"/>
      <c r="BH39" s="57" t="s">
        <v>215</v>
      </c>
      <c r="BI39" s="58"/>
      <c r="BJ39" s="59"/>
    </row>
    <row r="40" spans="2:62">
      <c r="B40" s="23" t="str">
        <f>I39</f>
        <v>Scenario 1 - non fermentation refrigeration electricity supplied by biomass energy</v>
      </c>
      <c r="C40" s="103">
        <f>J53</f>
        <v>322000</v>
      </c>
      <c r="D40" s="103">
        <f>J54</f>
        <v>215739.99999999997</v>
      </c>
      <c r="E40" s="24">
        <f>J69</f>
        <v>5.6576197638665198</v>
      </c>
      <c r="F40" s="24">
        <f>J71</f>
        <v>4.2432148228998896</v>
      </c>
      <c r="G40" s="25">
        <f>J74</f>
        <v>0.25</v>
      </c>
      <c r="I40" s="32"/>
      <c r="J40" s="33"/>
      <c r="K40" s="34"/>
      <c r="M40" s="26"/>
      <c r="N40" s="14"/>
      <c r="O40" s="42"/>
      <c r="Q40" s="26"/>
      <c r="R40" s="14"/>
      <c r="S40" s="42"/>
      <c r="U40" s="26"/>
      <c r="V40" s="14"/>
      <c r="W40" s="42"/>
      <c r="Y40" s="51"/>
      <c r="Z40" s="52"/>
      <c r="AA40" s="53"/>
      <c r="AD40" s="60"/>
      <c r="AE40" s="36"/>
      <c r="AF40" s="61"/>
      <c r="AH40" s="26" t="s">
        <v>47</v>
      </c>
      <c r="AI40" s="14"/>
      <c r="AJ40" s="42"/>
      <c r="AL40" s="91" t="s">
        <v>48</v>
      </c>
      <c r="AM40" s="92"/>
      <c r="AN40" s="93"/>
      <c r="AP40" s="26" t="s">
        <v>48</v>
      </c>
      <c r="AQ40" s="14"/>
      <c r="AR40" s="42"/>
      <c r="AT40" s="26" t="s">
        <v>48</v>
      </c>
      <c r="AU40" s="14"/>
      <c r="AV40" s="42"/>
      <c r="AY40" s="70"/>
      <c r="AZ40" s="71"/>
      <c r="BA40" s="72"/>
      <c r="BC40" s="79"/>
      <c r="BD40" s="80"/>
      <c r="BE40" s="81"/>
      <c r="BH40" s="60"/>
      <c r="BI40" s="36"/>
      <c r="BJ40" s="61"/>
    </row>
    <row r="41" spans="2:62">
      <c r="B41" s="26" t="str">
        <f>M39</f>
        <v>Scenario 2 - ALL refrigeration (vintage AND non-vintage) supplied by biomass energy</v>
      </c>
      <c r="C41" s="104">
        <f>N53</f>
        <v>1463000</v>
      </c>
      <c r="D41" s="104">
        <f>N54</f>
        <v>980209.99999999988</v>
      </c>
      <c r="E41" s="27">
        <f>N67</f>
        <v>14.548404642760012</v>
      </c>
      <c r="F41" s="27">
        <f>N69</f>
        <v>10.911303482070009</v>
      </c>
      <c r="G41" s="28">
        <f>N72</f>
        <v>0.4417197802197802</v>
      </c>
      <c r="I41" s="32" t="s">
        <v>49</v>
      </c>
      <c r="J41" s="33">
        <f>C17*C20*(1-C22)</f>
        <v>325000</v>
      </c>
      <c r="K41" s="34" t="s">
        <v>50</v>
      </c>
      <c r="M41" s="26" t="s">
        <v>51</v>
      </c>
      <c r="N41" s="14">
        <f>C21</f>
        <v>249235.71428571426</v>
      </c>
      <c r="O41" s="42" t="s">
        <v>50</v>
      </c>
      <c r="Q41" s="26" t="s">
        <v>52</v>
      </c>
      <c r="R41" s="14">
        <f>C27</f>
        <v>311.54464285714283</v>
      </c>
      <c r="S41" s="42" t="s">
        <v>53</v>
      </c>
      <c r="U41" s="26" t="s">
        <v>52</v>
      </c>
      <c r="V41" s="14">
        <f>C27</f>
        <v>311.54464285714283</v>
      </c>
      <c r="W41" s="42" t="s">
        <v>53</v>
      </c>
      <c r="Y41" s="51" t="s">
        <v>52</v>
      </c>
      <c r="Z41" s="52">
        <f>C27</f>
        <v>311.54464285714283</v>
      </c>
      <c r="AA41" s="53" t="s">
        <v>53</v>
      </c>
      <c r="AD41" s="60" t="s">
        <v>187</v>
      </c>
      <c r="AE41" s="62">
        <v>0.65</v>
      </c>
      <c r="AF41" s="61"/>
      <c r="AH41" s="26" t="s">
        <v>52</v>
      </c>
      <c r="AI41" s="14">
        <f>R41</f>
        <v>311.54464285714283</v>
      </c>
      <c r="AJ41" s="42" t="s">
        <v>53</v>
      </c>
      <c r="AL41" s="91" t="s">
        <v>52</v>
      </c>
      <c r="AM41" s="92">
        <f>C27</f>
        <v>311.54464285714283</v>
      </c>
      <c r="AN41" s="93" t="s">
        <v>53</v>
      </c>
      <c r="AP41" s="26" t="s">
        <v>52</v>
      </c>
      <c r="AQ41" s="14">
        <f>AM41</f>
        <v>311.54464285714283</v>
      </c>
      <c r="AR41" s="42" t="s">
        <v>53</v>
      </c>
      <c r="AT41" s="26" t="s">
        <v>52</v>
      </c>
      <c r="AU41" s="14">
        <f>AQ41</f>
        <v>311.54464285714283</v>
      </c>
      <c r="AV41" s="42" t="s">
        <v>53</v>
      </c>
      <c r="AY41" s="70" t="s">
        <v>54</v>
      </c>
      <c r="AZ41" s="71">
        <v>0.67</v>
      </c>
      <c r="BA41" s="72"/>
      <c r="BC41" s="79" t="s">
        <v>54</v>
      </c>
      <c r="BD41" s="80">
        <v>0.67</v>
      </c>
      <c r="BE41" s="81"/>
      <c r="BH41" s="60" t="s">
        <v>187</v>
      </c>
      <c r="BI41" s="62">
        <v>0.65</v>
      </c>
      <c r="BJ41" s="61"/>
    </row>
    <row r="42" spans="2:62">
      <c r="B42" s="26" t="str">
        <f>Q39</f>
        <v>Scenario 3 - Solar Thermal to supplement Ferment Cooling</v>
      </c>
      <c r="C42" s="104">
        <f>R60</f>
        <v>817887.68639249168</v>
      </c>
      <c r="D42" s="104">
        <f>C42/2</f>
        <v>408943.84319624584</v>
      </c>
      <c r="E42" s="27">
        <f>R69</f>
        <v>47.699078239449733</v>
      </c>
      <c r="F42" s="27">
        <f>R71</f>
        <v>36.455724083008015</v>
      </c>
      <c r="G42" s="28">
        <f>R73</f>
        <v>7.9883241758241755E-2</v>
      </c>
      <c r="I42" s="32" t="s">
        <v>1</v>
      </c>
      <c r="J42" s="33">
        <f>J41*C23</f>
        <v>682500</v>
      </c>
      <c r="K42" s="34" t="s">
        <v>23</v>
      </c>
      <c r="M42" s="26" t="s">
        <v>1</v>
      </c>
      <c r="N42" s="14">
        <f>N41*C23</f>
        <v>523394.99999999994</v>
      </c>
      <c r="O42" s="42" t="s">
        <v>23</v>
      </c>
      <c r="Q42" s="26" t="s">
        <v>55</v>
      </c>
      <c r="R42" s="14">
        <f>R41</f>
        <v>311.54464285714283</v>
      </c>
      <c r="S42" s="42" t="s">
        <v>53</v>
      </c>
      <c r="U42" s="26"/>
      <c r="V42" s="14"/>
      <c r="W42" s="42"/>
      <c r="Y42" s="51" t="s">
        <v>56</v>
      </c>
      <c r="Z42" s="52">
        <f>C28</f>
        <v>59.912431318681314</v>
      </c>
      <c r="AA42" s="53" t="s">
        <v>53</v>
      </c>
      <c r="AD42" s="60" t="s">
        <v>57</v>
      </c>
      <c r="AE42" s="36">
        <f>C17*(1-C20)*AE41</f>
        <v>422500</v>
      </c>
      <c r="AF42" s="61" t="s">
        <v>11</v>
      </c>
      <c r="AH42" s="26"/>
      <c r="AI42" s="14"/>
      <c r="AJ42" s="42"/>
      <c r="AL42" s="91" t="s">
        <v>56</v>
      </c>
      <c r="AM42" s="92">
        <f>C28</f>
        <v>59.912431318681314</v>
      </c>
      <c r="AN42" s="93" t="s">
        <v>53</v>
      </c>
      <c r="AP42" s="26" t="s">
        <v>56</v>
      </c>
      <c r="AQ42" s="14">
        <f>AM42</f>
        <v>59.912431318681314</v>
      </c>
      <c r="AR42" s="42" t="s">
        <v>53</v>
      </c>
      <c r="AT42" s="26" t="s">
        <v>56</v>
      </c>
      <c r="AU42" s="14">
        <f>AQ42</f>
        <v>59.912431318681314</v>
      </c>
      <c r="AV42" s="42" t="s">
        <v>53</v>
      </c>
      <c r="AY42" s="70" t="s">
        <v>58</v>
      </c>
      <c r="AZ42" s="71">
        <v>0.2</v>
      </c>
      <c r="BA42" s="72" t="s">
        <v>59</v>
      </c>
      <c r="BC42" s="79" t="s">
        <v>58</v>
      </c>
      <c r="BD42" s="80">
        <v>0.2</v>
      </c>
      <c r="BE42" s="81" t="s">
        <v>59</v>
      </c>
      <c r="BH42" s="60" t="s">
        <v>57</v>
      </c>
      <c r="BI42" s="36">
        <f>C17*(1-C20)*BI41</f>
        <v>422500</v>
      </c>
      <c r="BJ42" s="61" t="s">
        <v>11</v>
      </c>
    </row>
    <row r="43" spans="2:62">
      <c r="B43" s="26" t="str">
        <f>U39</f>
        <v>Scenario 4 - Biomass powered Absorption Chiller for ferment cooling only</v>
      </c>
      <c r="C43" s="104">
        <f>V59</f>
        <v>978556.10157106316</v>
      </c>
      <c r="D43" s="104">
        <f>V60</f>
        <v>655632.58805261226</v>
      </c>
      <c r="E43" s="27">
        <f>V69</f>
        <v>18.291421267521311</v>
      </c>
      <c r="F43" s="27">
        <f>V71</f>
        <v>12.255252249239277</v>
      </c>
      <c r="G43" s="28">
        <f>V73</f>
        <v>0.1917197802197802</v>
      </c>
      <c r="I43" s="32"/>
      <c r="J43" s="33"/>
      <c r="K43" s="34"/>
      <c r="M43" s="26"/>
      <c r="N43" s="14"/>
      <c r="O43" s="42"/>
      <c r="Q43" s="26"/>
      <c r="R43" s="14"/>
      <c r="S43" s="42"/>
      <c r="U43" s="26"/>
      <c r="V43" s="14"/>
      <c r="W43" s="42"/>
      <c r="Y43" s="51"/>
      <c r="Z43" s="52"/>
      <c r="AA43" s="53"/>
      <c r="AD43" s="60" t="s">
        <v>188</v>
      </c>
      <c r="AE43" s="36">
        <f>J41*AE41</f>
        <v>211250</v>
      </c>
      <c r="AF43" s="61" t="s">
        <v>50</v>
      </c>
      <c r="AH43" s="26" t="s">
        <v>56</v>
      </c>
      <c r="AI43" s="14">
        <f>Z42</f>
        <v>59.912431318681314</v>
      </c>
      <c r="AJ43" s="42" t="s">
        <v>53</v>
      </c>
      <c r="AL43" s="91"/>
      <c r="AM43" s="92"/>
      <c r="AN43" s="93"/>
      <c r="AP43" s="26"/>
      <c r="AQ43" s="14"/>
      <c r="AR43" s="42"/>
      <c r="AT43" s="26"/>
      <c r="AU43" s="14"/>
      <c r="AV43" s="42"/>
      <c r="AY43" s="70"/>
      <c r="AZ43" s="71"/>
      <c r="BA43" s="72"/>
      <c r="BC43" s="79"/>
      <c r="BD43" s="80"/>
      <c r="BE43" s="81"/>
      <c r="BH43" s="60" t="s">
        <v>188</v>
      </c>
      <c r="BI43" s="36">
        <f>J41*BI41</f>
        <v>211250</v>
      </c>
      <c r="BJ43" s="61" t="s">
        <v>50</v>
      </c>
    </row>
    <row r="44" spans="2:62">
      <c r="B44" s="105" t="str">
        <f>Y39</f>
        <v>Scenario 5 - Biomass powered Absorption Chiller for non-vintage refrigeration</v>
      </c>
      <c r="C44" s="106">
        <f>Z59</f>
        <v>188983.86568674291</v>
      </c>
      <c r="D44" s="106">
        <f>Z60</f>
        <v>126619.19001011773</v>
      </c>
      <c r="E44" s="107">
        <f>Z71</f>
        <v>4.5797136323754382</v>
      </c>
      <c r="F44" s="107">
        <f>Z73</f>
        <v>3.0684081336915434</v>
      </c>
      <c r="G44" s="108">
        <f>Z75</f>
        <v>0.19224648291269167</v>
      </c>
      <c r="I44" s="32"/>
      <c r="J44" s="33"/>
      <c r="K44" s="34"/>
      <c r="M44" s="26"/>
      <c r="N44" s="14"/>
      <c r="O44" s="42"/>
      <c r="Q44" s="26" t="s">
        <v>60</v>
      </c>
      <c r="R44" s="14">
        <f>R42/3.519</f>
        <v>88.53215199123126</v>
      </c>
      <c r="S44" s="42" t="s">
        <v>61</v>
      </c>
      <c r="U44" s="26" t="s">
        <v>60</v>
      </c>
      <c r="V44" s="14">
        <f>V41/3.519</f>
        <v>88.53215199123126</v>
      </c>
      <c r="W44" s="42" t="s">
        <v>61</v>
      </c>
      <c r="Y44" s="51" t="s">
        <v>60</v>
      </c>
      <c r="Z44" s="52">
        <f>Z42/3.519</f>
        <v>17.02541384446755</v>
      </c>
      <c r="AA44" s="53" t="s">
        <v>61</v>
      </c>
      <c r="AD44" s="60"/>
      <c r="AE44" s="36"/>
      <c r="AF44" s="61"/>
      <c r="AH44" s="26"/>
      <c r="AI44" s="14"/>
      <c r="AJ44" s="42"/>
      <c r="AL44" s="91" t="s">
        <v>62</v>
      </c>
      <c r="AM44" s="92">
        <v>0.1</v>
      </c>
      <c r="AN44" s="93"/>
      <c r="AP44" s="26" t="s">
        <v>62</v>
      </c>
      <c r="AQ44" s="14">
        <v>0.1</v>
      </c>
      <c r="AR44" s="42"/>
      <c r="AT44" s="26" t="s">
        <v>62</v>
      </c>
      <c r="AU44" s="14">
        <v>0.1</v>
      </c>
      <c r="AV44" s="42"/>
      <c r="AY44" s="70" t="s">
        <v>63</v>
      </c>
      <c r="AZ44" s="71">
        <f>C8*AZ41*AZ42*1000</f>
        <v>100500.00000000001</v>
      </c>
      <c r="BA44" s="72" t="s">
        <v>64</v>
      </c>
      <c r="BC44" s="79" t="s">
        <v>63</v>
      </c>
      <c r="BD44" s="80">
        <f>C8*BD41*BD42*1000</f>
        <v>100500.00000000001</v>
      </c>
      <c r="BE44" s="81" t="s">
        <v>64</v>
      </c>
      <c r="BH44" s="60" t="s">
        <v>71</v>
      </c>
      <c r="BI44" s="36">
        <f>330*24</f>
        <v>7920</v>
      </c>
      <c r="BJ44" s="61" t="s">
        <v>72</v>
      </c>
    </row>
    <row r="45" spans="2:62">
      <c r="B45" s="105" t="str">
        <f>AD39</f>
        <v>Scenario 6 - site electricity supplemented by biomass energy (using gasification technology)</v>
      </c>
      <c r="C45" s="106">
        <f>AE54</f>
        <v>623000</v>
      </c>
      <c r="D45" s="106">
        <f>AE55</f>
        <v>417409.99999999994</v>
      </c>
      <c r="E45" s="107">
        <f>AE70</f>
        <v>5.6134688849957666</v>
      </c>
      <c r="F45" s="107">
        <f>AE72</f>
        <v>4.2101016637468245</v>
      </c>
      <c r="G45" s="108">
        <f>AE75</f>
        <v>0.48749999999999999</v>
      </c>
      <c r="I45" s="32" t="s">
        <v>65</v>
      </c>
      <c r="J45" s="33">
        <f>J41/C12</f>
        <v>1805555.5555555557</v>
      </c>
      <c r="K45" s="34" t="s">
        <v>11</v>
      </c>
      <c r="M45" s="26" t="s">
        <v>66</v>
      </c>
      <c r="N45" s="14">
        <f>N41/C12</f>
        <v>1384642.857142857</v>
      </c>
      <c r="O45" s="42" t="s">
        <v>11</v>
      </c>
      <c r="Q45" s="26" t="s">
        <v>67</v>
      </c>
      <c r="R45" s="104">
        <v>3300</v>
      </c>
      <c r="S45" s="42" t="s">
        <v>68</v>
      </c>
      <c r="U45" s="26" t="s">
        <v>67</v>
      </c>
      <c r="V45" s="14">
        <v>3300</v>
      </c>
      <c r="W45" s="42" t="s">
        <v>68</v>
      </c>
      <c r="Y45" s="51" t="s">
        <v>67</v>
      </c>
      <c r="Z45" s="120">
        <v>3300</v>
      </c>
      <c r="AA45" s="53" t="s">
        <v>68</v>
      </c>
      <c r="AD45" s="60"/>
      <c r="AE45" s="36"/>
      <c r="AF45" s="61"/>
      <c r="AH45" s="26"/>
      <c r="AI45" s="14"/>
      <c r="AJ45" s="42"/>
      <c r="AL45" s="91"/>
      <c r="AM45" s="92"/>
      <c r="AN45" s="93"/>
      <c r="AP45" s="26"/>
      <c r="AQ45" s="14"/>
      <c r="AR45" s="42"/>
      <c r="AT45" s="26"/>
      <c r="AU45" s="14"/>
      <c r="AV45" s="42"/>
      <c r="AY45" s="70" t="s">
        <v>69</v>
      </c>
      <c r="AZ45" s="71">
        <v>39.700000000000003</v>
      </c>
      <c r="BA45" s="72" t="s">
        <v>70</v>
      </c>
      <c r="BC45" s="79" t="s">
        <v>69</v>
      </c>
      <c r="BD45" s="80">
        <v>39.700000000000003</v>
      </c>
      <c r="BE45" s="81" t="s">
        <v>70</v>
      </c>
      <c r="BH45" s="60" t="s">
        <v>82</v>
      </c>
      <c r="BI45" s="36">
        <f>(BI42+BI43)/BI44</f>
        <v>80.018939393939391</v>
      </c>
      <c r="BJ45" s="61" t="s">
        <v>76</v>
      </c>
    </row>
    <row r="46" spans="2:62">
      <c r="B46" s="26" t="str">
        <f>AH39</f>
        <v>Scenario 7 - Solar Thermal to supplement Ferment Cooling and non-vintage refrigeration</v>
      </c>
      <c r="C46" s="104">
        <f>AI65</f>
        <v>625301.48286216648</v>
      </c>
      <c r="D46" s="104">
        <f>AI66</f>
        <v>418951.99351765151</v>
      </c>
      <c r="E46" s="27">
        <f>AI77</f>
        <v>19.271433495014531</v>
      </c>
      <c r="F46" s="27">
        <f>AI79</f>
        <v>14.501753704998436</v>
      </c>
      <c r="G46" s="28">
        <f>AI81</f>
        <v>0.14396540272913896</v>
      </c>
      <c r="I46" s="32" t="s">
        <v>71</v>
      </c>
      <c r="J46" s="33">
        <f>330*24</f>
        <v>7920</v>
      </c>
      <c r="K46" s="34" t="s">
        <v>72</v>
      </c>
      <c r="M46" s="26" t="s">
        <v>73</v>
      </c>
      <c r="N46" s="14">
        <f>C34*7*24</f>
        <v>1680</v>
      </c>
      <c r="O46" s="42" t="s">
        <v>72</v>
      </c>
      <c r="Q46" s="26" t="s">
        <v>74</v>
      </c>
      <c r="R46" s="104">
        <f>R44*R45</f>
        <v>292156.10157106316</v>
      </c>
      <c r="S46" s="42"/>
      <c r="U46" s="26" t="s">
        <v>74</v>
      </c>
      <c r="V46" s="104">
        <f>V44*V45</f>
        <v>292156.10157106316</v>
      </c>
      <c r="W46" s="42"/>
      <c r="Y46" s="51" t="s">
        <v>74</v>
      </c>
      <c r="Z46" s="120">
        <f>Z44*Z45</f>
        <v>56183.865686742916</v>
      </c>
      <c r="AA46" s="53"/>
      <c r="AD46" s="60" t="s">
        <v>65</v>
      </c>
      <c r="AE46" s="36">
        <f>(AE42+AE43)/C12</f>
        <v>3520833.3333333335</v>
      </c>
      <c r="AF46" s="61" t="s">
        <v>11</v>
      </c>
      <c r="AH46" s="26" t="s">
        <v>60</v>
      </c>
      <c r="AI46" s="14">
        <f>(AI41)/3.519</f>
        <v>88.53215199123126</v>
      </c>
      <c r="AJ46" s="42" t="s">
        <v>61</v>
      </c>
      <c r="AL46" s="91" t="s">
        <v>60</v>
      </c>
      <c r="AM46" s="92">
        <f>(AM42)*(1+AM44)/3.519</f>
        <v>18.727955228914308</v>
      </c>
      <c r="AN46" s="93" t="s">
        <v>61</v>
      </c>
      <c r="AP46" s="26" t="s">
        <v>60</v>
      </c>
      <c r="AQ46" s="14">
        <f>(AQ42)*(1+AQ44)/3.519</f>
        <v>18.727955228914308</v>
      </c>
      <c r="AR46" s="42" t="s">
        <v>61</v>
      </c>
      <c r="AT46" s="26" t="s">
        <v>75</v>
      </c>
      <c r="AU46" s="14">
        <f>AU42*(1+AU44)/C23</f>
        <v>31.382702119309258</v>
      </c>
      <c r="AV46" s="42" t="s">
        <v>76</v>
      </c>
      <c r="AY46" s="70" t="s">
        <v>77</v>
      </c>
      <c r="AZ46" s="71">
        <v>0.3</v>
      </c>
      <c r="BA46" s="72"/>
      <c r="BC46" s="79" t="s">
        <v>77</v>
      </c>
      <c r="BD46" s="80">
        <v>0.7</v>
      </c>
      <c r="BE46" s="81"/>
      <c r="BH46" s="60" t="s">
        <v>91</v>
      </c>
      <c r="BI46" s="63">
        <v>0.1</v>
      </c>
      <c r="BJ46" s="61"/>
    </row>
    <row r="47" spans="2:62">
      <c r="B47" s="26" t="str">
        <f>AL39</f>
        <v>Scenario 8 - Solar Thermal to supplement non-ferment refrigeration</v>
      </c>
      <c r="C47" s="104">
        <f>AM68</f>
        <v>174138.06097794467</v>
      </c>
      <c r="D47" s="104">
        <f>AM69</f>
        <v>116672.50085522291</v>
      </c>
      <c r="E47" s="27">
        <f>AM80</f>
        <v>12.056999815121749</v>
      </c>
      <c r="F47" s="27">
        <f>AM82</f>
        <v>9.0728923608791163</v>
      </c>
      <c r="G47" s="28">
        <f>AM84</f>
        <v>7.0539201571583832E-2</v>
      </c>
      <c r="I47" s="32" t="s">
        <v>78</v>
      </c>
      <c r="J47" s="33">
        <f>J45/J46</f>
        <v>227.97418630751966</v>
      </c>
      <c r="K47" s="34" t="s">
        <v>79</v>
      </c>
      <c r="M47" s="26" t="s">
        <v>80</v>
      </c>
      <c r="N47" s="14">
        <f>N45/N46+J47</f>
        <v>1052.1663631782678</v>
      </c>
      <c r="O47" s="42" t="s">
        <v>79</v>
      </c>
      <c r="Q47" s="26"/>
      <c r="R47" s="14"/>
      <c r="S47" s="42"/>
      <c r="U47" s="26"/>
      <c r="V47" s="14"/>
      <c r="W47" s="42"/>
      <c r="Y47" s="51"/>
      <c r="Z47" s="52"/>
      <c r="AA47" s="53"/>
      <c r="AD47" s="60" t="s">
        <v>71</v>
      </c>
      <c r="AE47" s="36">
        <f>330*24</f>
        <v>7920</v>
      </c>
      <c r="AF47" s="61" t="s">
        <v>72</v>
      </c>
      <c r="AH47" s="26" t="s">
        <v>67</v>
      </c>
      <c r="AI47" s="104">
        <v>3500</v>
      </c>
      <c r="AJ47" s="42" t="s">
        <v>68</v>
      </c>
      <c r="AL47" s="91" t="s">
        <v>67</v>
      </c>
      <c r="AM47" s="104">
        <v>3300</v>
      </c>
      <c r="AN47" s="93" t="s">
        <v>68</v>
      </c>
      <c r="AP47" s="26" t="s">
        <v>67</v>
      </c>
      <c r="AQ47" s="104">
        <v>3300</v>
      </c>
      <c r="AR47" s="42" t="s">
        <v>68</v>
      </c>
      <c r="AT47" s="26"/>
      <c r="AU47" s="14"/>
      <c r="AV47" s="42"/>
      <c r="AY47" s="70"/>
      <c r="AZ47" s="71"/>
      <c r="BA47" s="72"/>
      <c r="BC47" s="79" t="s">
        <v>81</v>
      </c>
      <c r="BD47" s="80">
        <f>330*24</f>
        <v>7920</v>
      </c>
      <c r="BE47" s="81" t="s">
        <v>72</v>
      </c>
      <c r="BH47" s="60" t="s">
        <v>96</v>
      </c>
      <c r="BI47" s="36">
        <f>ROUNDUP(BI45*(1+BI46),0)</f>
        <v>89</v>
      </c>
      <c r="BJ47" s="61" t="s">
        <v>76</v>
      </c>
    </row>
    <row r="48" spans="2:62">
      <c r="B48" s="26" t="str">
        <f>AP39</f>
        <v>Scenario 9 - Solar Thermal to supplement non-ferment refrigeration via absorption refrigeration (with energy storage)</v>
      </c>
      <c r="C48" s="104">
        <f>AQ69</f>
        <v>660926.56544223032</v>
      </c>
      <c r="D48" s="104">
        <f>AQ70</f>
        <v>442820.79884629429</v>
      </c>
      <c r="E48" s="27">
        <f>AQ81</f>
        <v>11.435132055253954</v>
      </c>
      <c r="F48" s="27">
        <f>AQ83</f>
        <v>8.6049368715785999</v>
      </c>
      <c r="G48" s="28">
        <f>AQ85</f>
        <v>0.25</v>
      </c>
      <c r="I48" s="32" t="s">
        <v>82</v>
      </c>
      <c r="J48" s="33">
        <f>J41/J46</f>
        <v>41.035353535353536</v>
      </c>
      <c r="K48" s="34" t="s">
        <v>76</v>
      </c>
      <c r="M48" s="26" t="s">
        <v>83</v>
      </c>
      <c r="N48" s="14">
        <f>N41/N46+J48</f>
        <v>189.38994537208822</v>
      </c>
      <c r="O48" s="42" t="s">
        <v>76</v>
      </c>
      <c r="Q48" s="26" t="s">
        <v>84</v>
      </c>
      <c r="R48" s="14">
        <v>0.8</v>
      </c>
      <c r="S48" s="42"/>
      <c r="U48" s="26" t="s">
        <v>84</v>
      </c>
      <c r="V48" s="14">
        <f>R48</f>
        <v>0.8</v>
      </c>
      <c r="W48" s="42"/>
      <c r="Y48" s="51" t="s">
        <v>84</v>
      </c>
      <c r="Z48" s="52">
        <f>R48</f>
        <v>0.8</v>
      </c>
      <c r="AA48" s="53"/>
      <c r="AD48" s="60" t="s">
        <v>78</v>
      </c>
      <c r="AE48" s="36">
        <f>AE46/AE47</f>
        <v>444.54966329966334</v>
      </c>
      <c r="AF48" s="61" t="s">
        <v>79</v>
      </c>
      <c r="AH48" s="26" t="s">
        <v>74</v>
      </c>
      <c r="AI48" s="104">
        <f>AI46*AI47</f>
        <v>309862.53196930944</v>
      </c>
      <c r="AJ48" s="42"/>
      <c r="AL48" s="91" t="s">
        <v>74</v>
      </c>
      <c r="AM48" s="104">
        <f>AM46*AM47</f>
        <v>61802.252255417217</v>
      </c>
      <c r="AN48" s="93"/>
      <c r="AP48" s="26" t="s">
        <v>74</v>
      </c>
      <c r="AQ48" s="104">
        <f>AQ46*AQ47</f>
        <v>61802.252255417217</v>
      </c>
      <c r="AR48" s="42"/>
      <c r="AT48" s="26" t="s">
        <v>85</v>
      </c>
      <c r="AU48" s="14">
        <v>0.16</v>
      </c>
      <c r="AV48" s="42"/>
      <c r="AY48" s="70" t="s">
        <v>86</v>
      </c>
      <c r="AZ48" s="71">
        <f>AZ44*AZ45*AZ46/(3600*J46)*1000</f>
        <v>41.980744949494955</v>
      </c>
      <c r="BA48" s="72" t="s">
        <v>76</v>
      </c>
      <c r="BC48" s="79" t="s">
        <v>87</v>
      </c>
      <c r="BD48" s="80">
        <f>BD44*BD45/3.6/BD47*BD46</f>
        <v>97.955071548821579</v>
      </c>
      <c r="BE48" s="81" t="s">
        <v>28</v>
      </c>
      <c r="BH48" s="60" t="s">
        <v>204</v>
      </c>
      <c r="BI48" s="36">
        <v>3000</v>
      </c>
      <c r="BJ48" s="61" t="s">
        <v>104</v>
      </c>
    </row>
    <row r="49" spans="2:65">
      <c r="B49" s="26" t="str">
        <f>AT39</f>
        <v>Scenario 10 - Solar Thermal + ORC Engine to supplement non-ferment refrigeration (with energy storage)</v>
      </c>
      <c r="C49" s="104">
        <f>AU69</f>
        <v>1663283.2123233904</v>
      </c>
      <c r="D49" s="104">
        <f>AU70</f>
        <v>1114399.7522566714</v>
      </c>
      <c r="E49" s="27">
        <f>AU81</f>
        <v>29.213377431478893</v>
      </c>
      <c r="F49" s="27">
        <f>AU83</f>
        <v>21.983066517187865</v>
      </c>
      <c r="G49" s="28">
        <f>AU85</f>
        <v>0.25</v>
      </c>
      <c r="I49" s="32"/>
      <c r="J49" s="33"/>
      <c r="K49" s="34"/>
      <c r="M49" s="26"/>
      <c r="N49" s="14"/>
      <c r="O49" s="42"/>
      <c r="Q49" s="26" t="s">
        <v>88</v>
      </c>
      <c r="R49" s="14">
        <f>R42/R48</f>
        <v>389.4308035714285</v>
      </c>
      <c r="S49" s="42" t="s">
        <v>53</v>
      </c>
      <c r="U49" s="26" t="s">
        <v>89</v>
      </c>
      <c r="V49" s="14">
        <f>V41/V48</f>
        <v>389.4308035714285</v>
      </c>
      <c r="W49" s="42" t="s">
        <v>79</v>
      </c>
      <c r="Y49" s="51" t="s">
        <v>89</v>
      </c>
      <c r="Z49" s="52">
        <f>Z42/Z48</f>
        <v>74.890539148351635</v>
      </c>
      <c r="AA49" s="53" t="s">
        <v>79</v>
      </c>
      <c r="AD49" s="60" t="s">
        <v>82</v>
      </c>
      <c r="AE49" s="36">
        <f>(AE42+AE43)/AE47</f>
        <v>80.018939393939391</v>
      </c>
      <c r="AF49" s="61" t="s">
        <v>76</v>
      </c>
      <c r="AH49" s="26"/>
      <c r="AI49" s="14"/>
      <c r="AJ49" s="42"/>
      <c r="AL49" s="91"/>
      <c r="AM49" s="92"/>
      <c r="AN49" s="93"/>
      <c r="AP49" s="26"/>
      <c r="AQ49" s="14"/>
      <c r="AR49" s="42"/>
      <c r="AT49" s="26" t="s">
        <v>90</v>
      </c>
      <c r="AU49" s="14">
        <f>AU46/AU48</f>
        <v>196.14188824568285</v>
      </c>
      <c r="AV49" s="42" t="s">
        <v>79</v>
      </c>
      <c r="AY49" s="70" t="s">
        <v>91</v>
      </c>
      <c r="AZ49" s="71">
        <v>0.1</v>
      </c>
      <c r="BA49" s="72"/>
      <c r="BC49" s="79" t="s">
        <v>92</v>
      </c>
      <c r="BD49" s="80">
        <f>BD48/C23</f>
        <v>46.645272166105514</v>
      </c>
      <c r="BE49" s="81" t="s">
        <v>76</v>
      </c>
      <c r="BH49" s="60" t="s">
        <v>205</v>
      </c>
      <c r="BI49" s="109">
        <f>BI47*BI48</f>
        <v>267000</v>
      </c>
      <c r="BJ49" s="61"/>
    </row>
    <row r="50" spans="2:65">
      <c r="B50" s="60" t="str">
        <f>AY39</f>
        <v>Scenario 11 - supplimentary electricity supplied by AD</v>
      </c>
      <c r="C50" s="109">
        <f>AZ54</f>
        <v>277072.91666666674</v>
      </c>
      <c r="D50" s="109">
        <f>AZ55</f>
        <v>185638.85416666669</v>
      </c>
      <c r="E50" s="87">
        <f>AZ70</f>
        <v>8.0734735018813648</v>
      </c>
      <c r="F50" s="87">
        <f>AZ72</f>
        <v>6.4083195921183327</v>
      </c>
      <c r="G50" s="110">
        <f>AZ75</f>
        <v>0.14614835164835169</v>
      </c>
      <c r="I50" s="32" t="s">
        <v>91</v>
      </c>
      <c r="J50" s="35">
        <v>0.1</v>
      </c>
      <c r="K50" s="34"/>
      <c r="M50" s="26" t="s">
        <v>91</v>
      </c>
      <c r="N50" s="14">
        <f>J50</f>
        <v>0.1</v>
      </c>
      <c r="O50" s="42"/>
      <c r="Q50" s="26" t="s">
        <v>93</v>
      </c>
      <c r="R50" s="14">
        <f>R49*C35</f>
        <v>3894.3080357142849</v>
      </c>
      <c r="S50" s="42" t="s">
        <v>94</v>
      </c>
      <c r="U50" s="26"/>
      <c r="V50" s="14"/>
      <c r="W50" s="42"/>
      <c r="Y50" s="51"/>
      <c r="Z50" s="52"/>
      <c r="AA50" s="53"/>
      <c r="AD50" s="60"/>
      <c r="AE50" s="36"/>
      <c r="AF50" s="61"/>
      <c r="AH50" s="26" t="s">
        <v>84</v>
      </c>
      <c r="AI50" s="14">
        <v>0.8</v>
      </c>
      <c r="AJ50" s="42"/>
      <c r="AL50" s="91" t="s">
        <v>84</v>
      </c>
      <c r="AM50" s="92">
        <v>0.8</v>
      </c>
      <c r="AN50" s="93"/>
      <c r="AP50" s="26" t="s">
        <v>84</v>
      </c>
      <c r="AQ50" s="14">
        <v>0.8</v>
      </c>
      <c r="AR50" s="42"/>
      <c r="AT50" s="26" t="s">
        <v>95</v>
      </c>
      <c r="AU50" s="104">
        <v>3000</v>
      </c>
      <c r="AV50" s="42"/>
      <c r="AY50" s="70" t="s">
        <v>96</v>
      </c>
      <c r="AZ50" s="71">
        <f>AZ48*(1+AZ49)</f>
        <v>46.178819444444457</v>
      </c>
      <c r="BA50" s="72" t="s">
        <v>76</v>
      </c>
      <c r="BC50" s="79" t="s">
        <v>97</v>
      </c>
      <c r="BD50" s="122">
        <f>BD49*BD47*C18</f>
        <v>77580.416666666686</v>
      </c>
      <c r="BE50" s="81" t="s">
        <v>98</v>
      </c>
      <c r="BH50" s="60" t="s">
        <v>206</v>
      </c>
      <c r="BI50" s="109">
        <f>BI49*(1-$C$32)</f>
        <v>178889.99999999997</v>
      </c>
      <c r="BJ50" s="61"/>
    </row>
    <row r="51" spans="2:65">
      <c r="B51" s="60" t="str">
        <f>BC39</f>
        <v>Scenario 12 - supplimentary refrigeration supplied by AD powered refrigeration compressor</v>
      </c>
      <c r="C51" s="109">
        <f>BD54</f>
        <v>233226.36083052756</v>
      </c>
      <c r="D51" s="109">
        <f>BD55</f>
        <v>156261.66175645345</v>
      </c>
      <c r="E51" s="87">
        <f>BD70</f>
        <v>4.529413156140226</v>
      </c>
      <c r="F51" s="87">
        <f>BD72</f>
        <v>3.5952216926863048</v>
      </c>
      <c r="G51" s="110">
        <f>BD75</f>
        <v>0.25</v>
      </c>
      <c r="I51" s="32" t="s">
        <v>96</v>
      </c>
      <c r="J51" s="33">
        <f>ROUNDUP(J48*(1+J50),0)</f>
        <v>46</v>
      </c>
      <c r="K51" s="34" t="s">
        <v>76</v>
      </c>
      <c r="M51" s="26" t="s">
        <v>96</v>
      </c>
      <c r="N51" s="14">
        <f>ROUNDUP(N48*(1+N50),0)</f>
        <v>209</v>
      </c>
      <c r="O51" s="42" t="s">
        <v>76</v>
      </c>
      <c r="Q51" s="26"/>
      <c r="R51" s="14"/>
      <c r="S51" s="42"/>
      <c r="U51" s="26" t="s">
        <v>91</v>
      </c>
      <c r="V51" s="14">
        <v>0.1</v>
      </c>
      <c r="W51" s="42"/>
      <c r="Y51" s="51" t="s">
        <v>91</v>
      </c>
      <c r="Z51" s="52">
        <v>0.1</v>
      </c>
      <c r="AA51" s="53"/>
      <c r="AD51" s="60" t="s">
        <v>91</v>
      </c>
      <c r="AE51" s="63">
        <v>0.1</v>
      </c>
      <c r="AF51" s="61"/>
      <c r="AH51" s="26" t="s">
        <v>99</v>
      </c>
      <c r="AI51" s="14">
        <f>AI41/AI50</f>
        <v>389.4308035714285</v>
      </c>
      <c r="AJ51" s="42" t="s">
        <v>53</v>
      </c>
      <c r="AL51" s="91" t="s">
        <v>99</v>
      </c>
      <c r="AM51" s="92">
        <f>AM41/AM50</f>
        <v>389.4308035714285</v>
      </c>
      <c r="AN51" s="93" t="s">
        <v>53</v>
      </c>
      <c r="AP51" s="26" t="s">
        <v>99</v>
      </c>
      <c r="AQ51" s="14">
        <f>AQ41/AQ50</f>
        <v>389.4308035714285</v>
      </c>
      <c r="AR51" s="42" t="s">
        <v>53</v>
      </c>
      <c r="AT51" s="26" t="s">
        <v>100</v>
      </c>
      <c r="AU51" s="104">
        <f>AU50*AU46</f>
        <v>94148.106357927769</v>
      </c>
      <c r="AV51" s="42"/>
      <c r="AY51" s="70" t="s">
        <v>101</v>
      </c>
      <c r="AZ51" s="71">
        <f>AZ48*J46</f>
        <v>332487.50000000006</v>
      </c>
      <c r="BA51" s="72" t="s">
        <v>50</v>
      </c>
      <c r="BC51" s="79" t="s">
        <v>102</v>
      </c>
      <c r="BD51" s="80">
        <f>BD49*BD47</f>
        <v>369430.55555555568</v>
      </c>
      <c r="BE51" s="81" t="s">
        <v>50</v>
      </c>
      <c r="BH51" s="60" t="s">
        <v>207</v>
      </c>
      <c r="BI51" s="109">
        <v>3500</v>
      </c>
      <c r="BJ51" s="61" t="s">
        <v>214</v>
      </c>
    </row>
    <row r="52" spans="2:65" ht="15.75" thickBot="1">
      <c r="B52" s="64" t="str">
        <f>BH39</f>
        <v>Scenario 13 -  site electricity (except vintage refrigeration) supplemented by biomass energy (using ORC technology)</v>
      </c>
      <c r="C52" s="111">
        <f>BI54</f>
        <v>578500</v>
      </c>
      <c r="D52" s="111">
        <f>BI55</f>
        <v>387594.99999999994</v>
      </c>
      <c r="E52" s="112">
        <f>BI75</f>
        <v>5.2125068217817834</v>
      </c>
      <c r="F52" s="112">
        <f>BI77</f>
        <v>3.9093801163363371</v>
      </c>
      <c r="G52" s="113">
        <f>BI80</f>
        <v>0.48749999999999999</v>
      </c>
      <c r="I52" s="32" t="s">
        <v>103</v>
      </c>
      <c r="J52" s="109">
        <v>7000</v>
      </c>
      <c r="K52" s="34" t="s">
        <v>104</v>
      </c>
      <c r="M52" s="26" t="s">
        <v>103</v>
      </c>
      <c r="N52" s="104">
        <f>J52</f>
        <v>7000</v>
      </c>
      <c r="O52" s="42" t="s">
        <v>104</v>
      </c>
      <c r="Q52" s="26" t="s">
        <v>105</v>
      </c>
      <c r="R52" s="14">
        <v>25</v>
      </c>
      <c r="S52" s="42" t="s">
        <v>106</v>
      </c>
      <c r="U52" s="26" t="s">
        <v>107</v>
      </c>
      <c r="V52" s="14">
        <f>ROUNDUP(V49*(1+V51),0)</f>
        <v>429</v>
      </c>
      <c r="W52" s="42" t="s">
        <v>79</v>
      </c>
      <c r="Y52" s="51" t="s">
        <v>107</v>
      </c>
      <c r="Z52" s="52">
        <f>ROUNDUP(Z49*(1+Z51),0)</f>
        <v>83</v>
      </c>
      <c r="AA52" s="53" t="s">
        <v>79</v>
      </c>
      <c r="AD52" s="60" t="s">
        <v>96</v>
      </c>
      <c r="AE52" s="36">
        <f>ROUNDUP(AE49*(1+AE51),0)</f>
        <v>89</v>
      </c>
      <c r="AF52" s="61" t="s">
        <v>76</v>
      </c>
      <c r="AH52" s="26" t="s">
        <v>108</v>
      </c>
      <c r="AI52" s="14">
        <f>AI43/AI50</f>
        <v>74.890539148351635</v>
      </c>
      <c r="AJ52" s="42" t="s">
        <v>53</v>
      </c>
      <c r="AL52" s="91" t="s">
        <v>108</v>
      </c>
      <c r="AM52" s="92">
        <f>AM42/AM50</f>
        <v>74.890539148351635</v>
      </c>
      <c r="AN52" s="93" t="s">
        <v>53</v>
      </c>
      <c r="AP52" s="26" t="s">
        <v>108</v>
      </c>
      <c r="AQ52" s="14">
        <f>AQ42/AQ50</f>
        <v>74.890539148351635</v>
      </c>
      <c r="AR52" s="42" t="s">
        <v>53</v>
      </c>
      <c r="AT52" s="26" t="s">
        <v>108</v>
      </c>
      <c r="AU52" s="14">
        <f>AU49</f>
        <v>196.14188824568285</v>
      </c>
      <c r="AV52" s="42" t="s">
        <v>53</v>
      </c>
      <c r="AY52" s="70"/>
      <c r="AZ52" s="71"/>
      <c r="BA52" s="72"/>
      <c r="BC52" s="79"/>
      <c r="BD52" s="80"/>
      <c r="BE52" s="81"/>
      <c r="BH52" s="60" t="s">
        <v>210</v>
      </c>
      <c r="BI52" s="109">
        <f>BI47*BI51</f>
        <v>311500</v>
      </c>
      <c r="BJ52" s="61"/>
    </row>
    <row r="53" spans="2:65">
      <c r="I53" s="32" t="s">
        <v>109</v>
      </c>
      <c r="J53" s="118">
        <f>J51*J52</f>
        <v>322000</v>
      </c>
      <c r="K53" s="34"/>
      <c r="M53" s="26" t="s">
        <v>109</v>
      </c>
      <c r="N53" s="104">
        <f>N51*N52</f>
        <v>1463000</v>
      </c>
      <c r="O53" s="42"/>
      <c r="Q53" s="26"/>
      <c r="R53" s="14">
        <f>R52/3.6</f>
        <v>6.9444444444444446</v>
      </c>
      <c r="S53" s="42" t="s">
        <v>110</v>
      </c>
      <c r="U53" s="26" t="s">
        <v>103</v>
      </c>
      <c r="V53" s="104">
        <v>1600</v>
      </c>
      <c r="W53" s="42" t="s">
        <v>111</v>
      </c>
      <c r="Y53" s="51" t="s">
        <v>103</v>
      </c>
      <c r="Z53" s="120">
        <v>1600</v>
      </c>
      <c r="AA53" s="53" t="s">
        <v>111</v>
      </c>
      <c r="AD53" s="60" t="s">
        <v>103</v>
      </c>
      <c r="AE53" s="109">
        <f>J52</f>
        <v>7000</v>
      </c>
      <c r="AF53" s="61" t="s">
        <v>104</v>
      </c>
      <c r="AH53" s="26" t="s">
        <v>112</v>
      </c>
      <c r="AI53" s="14">
        <f>AI51*C35</f>
        <v>3894.3080357142849</v>
      </c>
      <c r="AJ53" s="42" t="s">
        <v>94</v>
      </c>
      <c r="AL53" s="91" t="s">
        <v>112</v>
      </c>
      <c r="AM53" s="92">
        <f>AM51*C35</f>
        <v>3894.3080357142849</v>
      </c>
      <c r="AN53" s="93" t="s">
        <v>94</v>
      </c>
      <c r="AP53" s="26" t="s">
        <v>113</v>
      </c>
      <c r="AQ53" s="14">
        <v>0.5</v>
      </c>
      <c r="AR53" s="42"/>
      <c r="AT53" s="26" t="s">
        <v>113</v>
      </c>
      <c r="AU53" s="14">
        <v>0.5</v>
      </c>
      <c r="AV53" s="42"/>
      <c r="AY53" s="70" t="s">
        <v>103</v>
      </c>
      <c r="AZ53" s="121">
        <v>6000</v>
      </c>
      <c r="BA53" s="72" t="s">
        <v>104</v>
      </c>
      <c r="BC53" s="79" t="s">
        <v>103</v>
      </c>
      <c r="BD53" s="122">
        <v>5000</v>
      </c>
      <c r="BE53" s="81" t="s">
        <v>104</v>
      </c>
      <c r="BH53" s="60" t="s">
        <v>211</v>
      </c>
      <c r="BI53" s="109">
        <f>BI52*(1-$C$32)</f>
        <v>208704.99999999997</v>
      </c>
      <c r="BJ53" s="61"/>
    </row>
    <row r="54" spans="2:65">
      <c r="I54" s="32" t="s">
        <v>114</v>
      </c>
      <c r="J54" s="118">
        <f>J53*(1-$C$32)</f>
        <v>215739.99999999997</v>
      </c>
      <c r="K54" s="34"/>
      <c r="M54" s="26" t="s">
        <v>114</v>
      </c>
      <c r="N54" s="104">
        <f>N53*(1-$C$32)</f>
        <v>980209.99999999988</v>
      </c>
      <c r="O54" s="42"/>
      <c r="Q54" s="26" t="s">
        <v>115</v>
      </c>
      <c r="R54" s="14">
        <f>0.6*0.8</f>
        <v>0.48</v>
      </c>
      <c r="S54" s="42"/>
      <c r="U54" s="26" t="s">
        <v>109</v>
      </c>
      <c r="V54" s="104">
        <f>V52*V53</f>
        <v>686400</v>
      </c>
      <c r="W54" s="42"/>
      <c r="Y54" s="51" t="s">
        <v>109</v>
      </c>
      <c r="Z54" s="120">
        <f>Z52*Z53</f>
        <v>132800</v>
      </c>
      <c r="AA54" s="53"/>
      <c r="AD54" s="60" t="s">
        <v>109</v>
      </c>
      <c r="AE54" s="109">
        <f>AE52*AE53</f>
        <v>623000</v>
      </c>
      <c r="AF54" s="61"/>
      <c r="AH54" s="26" t="s">
        <v>116</v>
      </c>
      <c r="AI54" s="14">
        <f>AI52*C36</f>
        <v>599.12431318681308</v>
      </c>
      <c r="AJ54" s="42" t="s">
        <v>94</v>
      </c>
      <c r="AL54" s="91" t="s">
        <v>116</v>
      </c>
      <c r="AM54" s="92">
        <f>AM52*C36</f>
        <v>599.12431318681308</v>
      </c>
      <c r="AN54" s="93" t="s">
        <v>94</v>
      </c>
      <c r="AP54" s="26" t="s">
        <v>117</v>
      </c>
      <c r="AQ54" s="14">
        <f>AQ52*(24-C36)/AQ53</f>
        <v>2396.4972527472523</v>
      </c>
      <c r="AR54" s="42" t="s">
        <v>94</v>
      </c>
      <c r="AT54" s="26" t="s">
        <v>117</v>
      </c>
      <c r="AU54" s="14">
        <f>AU52*(24-C36)/AU53</f>
        <v>6276.5404238618512</v>
      </c>
      <c r="AV54" s="42" t="s">
        <v>94</v>
      </c>
      <c r="AY54" s="70" t="s">
        <v>109</v>
      </c>
      <c r="AZ54" s="121">
        <f>AZ50*AZ53</f>
        <v>277072.91666666674</v>
      </c>
      <c r="BA54" s="72"/>
      <c r="BC54" s="79" t="s">
        <v>109</v>
      </c>
      <c r="BD54" s="122">
        <f>BD49*BD53</f>
        <v>233226.36083052756</v>
      </c>
      <c r="BE54" s="81"/>
      <c r="BH54" s="60" t="s">
        <v>212</v>
      </c>
      <c r="BI54" s="116">
        <f>BI49+BI52</f>
        <v>578500</v>
      </c>
      <c r="BJ54" s="61"/>
    </row>
    <row r="55" spans="2:65">
      <c r="I55" s="32"/>
      <c r="J55" s="33"/>
      <c r="K55" s="34"/>
      <c r="M55" s="26"/>
      <c r="N55" s="14"/>
      <c r="O55" s="42"/>
      <c r="Q55" s="26" t="s">
        <v>118</v>
      </c>
      <c r="R55" s="14">
        <f>R50/R53/R54</f>
        <v>1168.2924107142856</v>
      </c>
      <c r="S55" s="42" t="s">
        <v>119</v>
      </c>
      <c r="U55" s="26"/>
      <c r="V55" s="14"/>
      <c r="W55" s="42"/>
      <c r="Y55" s="51"/>
      <c r="Z55" s="52"/>
      <c r="AA55" s="53"/>
      <c r="AD55" s="60" t="s">
        <v>114</v>
      </c>
      <c r="AE55" s="109">
        <f>AE54*(1-$C$32)</f>
        <v>417409.99999999994</v>
      </c>
      <c r="AF55" s="61"/>
      <c r="AH55" s="26" t="s">
        <v>105</v>
      </c>
      <c r="AI55" s="14">
        <v>25</v>
      </c>
      <c r="AJ55" s="42" t="s">
        <v>106</v>
      </c>
      <c r="AL55" s="91" t="s">
        <v>120</v>
      </c>
      <c r="AM55" s="92">
        <v>18</v>
      </c>
      <c r="AN55" s="93" t="s">
        <v>106</v>
      </c>
      <c r="AP55" s="26"/>
      <c r="AQ55" s="14"/>
      <c r="AR55" s="42"/>
      <c r="AT55" s="26"/>
      <c r="AU55" s="14"/>
      <c r="AV55" s="42"/>
      <c r="AY55" s="70" t="s">
        <v>114</v>
      </c>
      <c r="AZ55" s="121">
        <f>AZ54*(1-$C$32)</f>
        <v>185638.85416666669</v>
      </c>
      <c r="BA55" s="72"/>
      <c r="BC55" s="79" t="s">
        <v>114</v>
      </c>
      <c r="BD55" s="122">
        <f>BD54*(1-$C$32)</f>
        <v>156261.66175645345</v>
      </c>
      <c r="BE55" s="81"/>
      <c r="BH55" s="60" t="s">
        <v>213</v>
      </c>
      <c r="BI55" s="116">
        <f>BI50+BI53</f>
        <v>387594.99999999994</v>
      </c>
      <c r="BJ55" s="61"/>
    </row>
    <row r="56" spans="2:65">
      <c r="I56" s="32" t="s">
        <v>121</v>
      </c>
      <c r="J56" s="36">
        <v>0.08</v>
      </c>
      <c r="K56" s="34" t="s">
        <v>122</v>
      </c>
      <c r="M56" s="26" t="s">
        <v>121</v>
      </c>
      <c r="N56" s="14">
        <f>J56</f>
        <v>0.08</v>
      </c>
      <c r="O56" s="42" t="s">
        <v>122</v>
      </c>
      <c r="Q56" s="26"/>
      <c r="R56" s="14"/>
      <c r="S56" s="42"/>
      <c r="U56" s="26"/>
      <c r="V56" s="14"/>
      <c r="W56" s="42"/>
      <c r="Y56" s="51"/>
      <c r="Z56" s="52"/>
      <c r="AA56" s="53"/>
      <c r="AD56" s="60"/>
      <c r="AE56" s="36"/>
      <c r="AF56" s="61"/>
      <c r="AH56" s="26"/>
      <c r="AI56" s="14">
        <f>AI55/3.6</f>
        <v>6.9444444444444446</v>
      </c>
      <c r="AJ56" s="42" t="s">
        <v>110</v>
      </c>
      <c r="AL56" s="91"/>
      <c r="AM56" s="92">
        <f>AM55/3.6</f>
        <v>5</v>
      </c>
      <c r="AN56" s="93" t="s">
        <v>110</v>
      </c>
      <c r="AP56" s="26" t="s">
        <v>123</v>
      </c>
      <c r="AQ56" s="104">
        <v>1000</v>
      </c>
      <c r="AR56" s="42"/>
      <c r="AT56" s="26" t="s">
        <v>123</v>
      </c>
      <c r="AU56" s="14">
        <v>1000</v>
      </c>
      <c r="AV56" s="42" t="s">
        <v>124</v>
      </c>
      <c r="AY56" s="70"/>
      <c r="AZ56" s="71"/>
      <c r="BA56" s="72"/>
      <c r="BC56" s="79"/>
      <c r="BD56" s="80"/>
      <c r="BE56" s="81"/>
      <c r="BH56" s="60"/>
      <c r="BI56" s="36"/>
      <c r="BJ56" s="61"/>
      <c r="BK56" s="14"/>
      <c r="BM56" s="14"/>
    </row>
    <row r="57" spans="2:65">
      <c r="I57" s="32" t="s">
        <v>125</v>
      </c>
      <c r="J57" s="36">
        <v>20</v>
      </c>
      <c r="K57" s="34" t="s">
        <v>126</v>
      </c>
      <c r="M57" s="26" t="s">
        <v>125</v>
      </c>
      <c r="N57" s="14">
        <f>J57</f>
        <v>20</v>
      </c>
      <c r="O57" s="42" t="s">
        <v>126</v>
      </c>
      <c r="Q57" s="26" t="s">
        <v>127</v>
      </c>
      <c r="R57" s="104">
        <v>450</v>
      </c>
      <c r="S57" s="42" t="s">
        <v>128</v>
      </c>
      <c r="U57" s="26"/>
      <c r="V57" s="14"/>
      <c r="W57" s="42"/>
      <c r="Y57" s="51" t="s">
        <v>129</v>
      </c>
      <c r="Z57" s="52">
        <f>N46</f>
        <v>1680</v>
      </c>
      <c r="AA57" s="53" t="s">
        <v>72</v>
      </c>
      <c r="AD57" s="60" t="s">
        <v>121</v>
      </c>
      <c r="AE57" s="36">
        <v>0.08</v>
      </c>
      <c r="AF57" s="61" t="s">
        <v>122</v>
      </c>
      <c r="AH57" s="26"/>
      <c r="AI57" s="14"/>
      <c r="AJ57" s="42"/>
      <c r="AL57" s="91"/>
      <c r="AM57" s="92"/>
      <c r="AN57" s="93"/>
      <c r="AP57" s="26" t="s">
        <v>130</v>
      </c>
      <c r="AQ57" s="104">
        <f>AQ56*AQ52*AQ53</f>
        <v>37445.269574175814</v>
      </c>
      <c r="AR57" s="42"/>
      <c r="AT57" s="26" t="s">
        <v>130</v>
      </c>
      <c r="AU57" s="14">
        <f>AU56*AU52*AU53</f>
        <v>98070.944122841422</v>
      </c>
      <c r="AV57" s="42"/>
      <c r="AY57" s="70" t="s">
        <v>121</v>
      </c>
      <c r="AZ57" s="71">
        <v>0.15</v>
      </c>
      <c r="BA57" s="72" t="s">
        <v>122</v>
      </c>
      <c r="BC57" s="79" t="s">
        <v>121</v>
      </c>
      <c r="BD57" s="80">
        <v>0.15</v>
      </c>
      <c r="BE57" s="81" t="s">
        <v>122</v>
      </c>
      <c r="BH57" s="60" t="s">
        <v>202</v>
      </c>
      <c r="BI57" s="36">
        <v>0.16</v>
      </c>
      <c r="BJ57" s="61"/>
    </row>
    <row r="58" spans="2:65">
      <c r="I58" s="32" t="s">
        <v>131</v>
      </c>
      <c r="J58" s="118">
        <f>J53*J56*J57/5</f>
        <v>103040</v>
      </c>
      <c r="K58" s="34"/>
      <c r="M58" s="26" t="s">
        <v>131</v>
      </c>
      <c r="N58" s="104">
        <f>N53*N56*N57/5</f>
        <v>468160</v>
      </c>
      <c r="O58" s="42"/>
      <c r="Q58" s="26" t="s">
        <v>132</v>
      </c>
      <c r="R58" s="104">
        <f>R57*R55</f>
        <v>525731.58482142852</v>
      </c>
      <c r="S58" s="42"/>
      <c r="U58" s="26"/>
      <c r="V58" s="14"/>
      <c r="W58" s="42"/>
      <c r="Y58" s="51" t="s">
        <v>133</v>
      </c>
      <c r="Z58" s="52">
        <f>J46-Z57</f>
        <v>6240</v>
      </c>
      <c r="AA58" s="53" t="s">
        <v>72</v>
      </c>
      <c r="AD58" s="60" t="s">
        <v>125</v>
      </c>
      <c r="AE58" s="36">
        <v>20</v>
      </c>
      <c r="AF58" s="61" t="s">
        <v>126</v>
      </c>
      <c r="AH58" s="26" t="s">
        <v>134</v>
      </c>
      <c r="AI58" s="14">
        <v>0.2</v>
      </c>
      <c r="AJ58" s="42"/>
      <c r="AL58" s="91"/>
      <c r="AM58" s="92"/>
      <c r="AN58" s="93"/>
      <c r="AP58" s="26" t="s">
        <v>135</v>
      </c>
      <c r="AQ58" s="14">
        <f>AQ52*C36</f>
        <v>599.12431318681308</v>
      </c>
      <c r="AR58" s="42" t="s">
        <v>94</v>
      </c>
      <c r="AT58" s="26" t="s">
        <v>135</v>
      </c>
      <c r="AU58" s="14">
        <f>AU52*C36</f>
        <v>1569.1351059654628</v>
      </c>
      <c r="AV58" s="42" t="s">
        <v>94</v>
      </c>
      <c r="AY58" s="70" t="s">
        <v>125</v>
      </c>
      <c r="AZ58" s="71">
        <v>20</v>
      </c>
      <c r="BA58" s="72" t="s">
        <v>126</v>
      </c>
      <c r="BC58" s="79" t="s">
        <v>125</v>
      </c>
      <c r="BD58" s="80">
        <v>20</v>
      </c>
      <c r="BE58" s="81" t="s">
        <v>126</v>
      </c>
      <c r="BH58" s="60" t="s">
        <v>65</v>
      </c>
      <c r="BI58" s="36">
        <f>(BI42+BI43)/BI57</f>
        <v>3960937.5</v>
      </c>
      <c r="BJ58" s="61" t="s">
        <v>11</v>
      </c>
    </row>
    <row r="59" spans="2:65">
      <c r="I59" s="32"/>
      <c r="J59" s="33"/>
      <c r="K59" s="34"/>
      <c r="M59" s="26"/>
      <c r="N59" s="14"/>
      <c r="O59" s="42"/>
      <c r="Q59" s="26"/>
      <c r="R59" s="14"/>
      <c r="S59" s="42"/>
      <c r="U59" s="26" t="s">
        <v>136</v>
      </c>
      <c r="V59" s="104">
        <f>V54+V46</f>
        <v>978556.10157106316</v>
      </c>
      <c r="W59" s="42"/>
      <c r="Y59" s="51" t="s">
        <v>136</v>
      </c>
      <c r="Z59" s="120">
        <f>Z54+Z46</f>
        <v>188983.86568674291</v>
      </c>
      <c r="AA59" s="53"/>
      <c r="AD59" s="60" t="s">
        <v>131</v>
      </c>
      <c r="AE59" s="109">
        <f>AE54*AE57*AE58/5</f>
        <v>199360</v>
      </c>
      <c r="AF59" s="61"/>
      <c r="AH59" s="26"/>
      <c r="AI59" s="14"/>
      <c r="AJ59" s="42"/>
      <c r="AL59" s="91"/>
      <c r="AM59" s="92"/>
      <c r="AN59" s="93"/>
      <c r="AP59" s="26"/>
      <c r="AQ59" s="14"/>
      <c r="AR59" s="42"/>
      <c r="AT59" s="26"/>
      <c r="AU59" s="14"/>
      <c r="AV59" s="42"/>
      <c r="AY59" s="70" t="s">
        <v>131</v>
      </c>
      <c r="AZ59" s="121">
        <f>AZ54*AZ57*AZ58/5</f>
        <v>166243.75000000003</v>
      </c>
      <c r="BA59" s="72"/>
      <c r="BC59" s="79" t="s">
        <v>131</v>
      </c>
      <c r="BD59" s="122">
        <f>BD54*BD57*BD58/5</f>
        <v>139935.81649831653</v>
      </c>
      <c r="BE59" s="81"/>
      <c r="BH59" s="60" t="s">
        <v>203</v>
      </c>
      <c r="BI59" s="63">
        <f>BI58/C11</f>
        <v>1.0006578947368421</v>
      </c>
      <c r="BJ59" s="61"/>
    </row>
    <row r="60" spans="2:65">
      <c r="I60" s="32" t="s">
        <v>14</v>
      </c>
      <c r="J60" s="33">
        <f>C18</f>
        <v>0.21</v>
      </c>
      <c r="K60" s="34" t="s">
        <v>15</v>
      </c>
      <c r="M60" s="26" t="s">
        <v>14</v>
      </c>
      <c r="N60" s="14">
        <f>J60</f>
        <v>0.21</v>
      </c>
      <c r="O60" s="42" t="s">
        <v>15</v>
      </c>
      <c r="Q60" s="26" t="s">
        <v>136</v>
      </c>
      <c r="R60" s="104">
        <f>R58+R46</f>
        <v>817887.68639249168</v>
      </c>
      <c r="S60" s="42"/>
      <c r="U60" s="26" t="s">
        <v>114</v>
      </c>
      <c r="V60" s="104">
        <f>V59*(1-C32)</f>
        <v>655632.58805261226</v>
      </c>
      <c r="W60" s="42"/>
      <c r="Y60" s="51" t="s">
        <v>114</v>
      </c>
      <c r="Z60" s="120">
        <f>Z59*(1-C32)</f>
        <v>126619.19001011773</v>
      </c>
      <c r="AA60" s="53"/>
      <c r="AD60" s="60"/>
      <c r="AE60" s="36"/>
      <c r="AF60" s="61"/>
      <c r="AH60" s="26" t="s">
        <v>118</v>
      </c>
      <c r="AI60" s="14">
        <f>AI53/(AI56*(1-AI58))</f>
        <v>700.97544642857122</v>
      </c>
      <c r="AJ60" s="42" t="s">
        <v>119</v>
      </c>
      <c r="AL60" s="91"/>
      <c r="AM60" s="92"/>
      <c r="AN60" s="93"/>
      <c r="AP60" s="26" t="s">
        <v>120</v>
      </c>
      <c r="AQ60" s="14">
        <v>18</v>
      </c>
      <c r="AR60" s="42" t="s">
        <v>106</v>
      </c>
      <c r="AT60" s="26" t="s">
        <v>120</v>
      </c>
      <c r="AU60" s="14">
        <v>18</v>
      </c>
      <c r="AV60" s="42" t="s">
        <v>106</v>
      </c>
      <c r="AY60" s="70"/>
      <c r="AZ60" s="71"/>
      <c r="BA60" s="72"/>
      <c r="BC60" s="79"/>
      <c r="BD60" s="80"/>
      <c r="BE60" s="81"/>
      <c r="BH60" s="60" t="s">
        <v>208</v>
      </c>
      <c r="BI60" s="36">
        <f>BI58/BI44</f>
        <v>500.11837121212119</v>
      </c>
      <c r="BJ60" s="61" t="s">
        <v>209</v>
      </c>
    </row>
    <row r="61" spans="2:65">
      <c r="I61" s="32" t="s">
        <v>137</v>
      </c>
      <c r="J61" s="118">
        <f>J60*J41</f>
        <v>68250</v>
      </c>
      <c r="K61" s="34"/>
      <c r="M61" s="26" t="s">
        <v>137</v>
      </c>
      <c r="N61" s="104">
        <f>N41*N60+J61</f>
        <v>120589.5</v>
      </c>
      <c r="O61" s="42"/>
      <c r="Q61" s="26" t="s">
        <v>121</v>
      </c>
      <c r="R61" s="14">
        <v>0.1</v>
      </c>
      <c r="S61" s="42" t="s">
        <v>122</v>
      </c>
      <c r="U61" s="26" t="s">
        <v>121</v>
      </c>
      <c r="V61" s="14">
        <f>0.1*C34/52</f>
        <v>1.9230769230769232E-2</v>
      </c>
      <c r="W61" s="42" t="s">
        <v>122</v>
      </c>
      <c r="Y61" s="51" t="s">
        <v>121</v>
      </c>
      <c r="Z61" s="52">
        <v>0.1</v>
      </c>
      <c r="AA61" s="53" t="s">
        <v>122</v>
      </c>
      <c r="AD61" s="60" t="s">
        <v>14</v>
      </c>
      <c r="AE61" s="36">
        <f>C18</f>
        <v>0.21</v>
      </c>
      <c r="AF61" s="61" t="s">
        <v>15</v>
      </c>
      <c r="AH61" s="26"/>
      <c r="AI61" s="14"/>
      <c r="AJ61" s="42"/>
      <c r="AL61" s="91" t="s">
        <v>115</v>
      </c>
      <c r="AM61" s="92">
        <f>0.6*0.8</f>
        <v>0.48</v>
      </c>
      <c r="AN61" s="93"/>
      <c r="AP61" s="26"/>
      <c r="AQ61" s="14">
        <f>AQ60/3.6</f>
        <v>5</v>
      </c>
      <c r="AR61" s="42" t="s">
        <v>110</v>
      </c>
      <c r="AT61" s="26"/>
      <c r="AU61" s="14">
        <f>AU60/3.6</f>
        <v>5</v>
      </c>
      <c r="AV61" s="42" t="s">
        <v>110</v>
      </c>
      <c r="AY61" s="70" t="s">
        <v>14</v>
      </c>
      <c r="AZ61" s="71">
        <v>0.12</v>
      </c>
      <c r="BA61" s="72" t="s">
        <v>15</v>
      </c>
      <c r="BC61" s="79" t="s">
        <v>14</v>
      </c>
      <c r="BD61" s="80">
        <v>0.12</v>
      </c>
      <c r="BE61" s="81" t="s">
        <v>15</v>
      </c>
      <c r="BH61" s="60"/>
      <c r="BI61" s="36"/>
      <c r="BJ61" s="61"/>
    </row>
    <row r="62" spans="2:65">
      <c r="I62" s="32" t="s">
        <v>138</v>
      </c>
      <c r="J62" s="33">
        <f>J42/C23*0.92/1000</f>
        <v>299</v>
      </c>
      <c r="K62" s="34" t="s">
        <v>139</v>
      </c>
      <c r="M62" s="26" t="s">
        <v>138</v>
      </c>
      <c r="N62" s="14">
        <f>N42/C23*0.92/1000+J62</f>
        <v>528.29685714285711</v>
      </c>
      <c r="O62" s="42" t="s">
        <v>139</v>
      </c>
      <c r="Q62" s="26" t="s">
        <v>140</v>
      </c>
      <c r="R62" s="14">
        <v>20</v>
      </c>
      <c r="S62" s="42" t="s">
        <v>126</v>
      </c>
      <c r="U62" s="26" t="s">
        <v>140</v>
      </c>
      <c r="V62" s="14">
        <v>20</v>
      </c>
      <c r="W62" s="42" t="s">
        <v>126</v>
      </c>
      <c r="Y62" s="51" t="s">
        <v>140</v>
      </c>
      <c r="Z62" s="52">
        <v>20</v>
      </c>
      <c r="AA62" s="53" t="s">
        <v>126</v>
      </c>
      <c r="AD62" s="60" t="s">
        <v>137</v>
      </c>
      <c r="AE62" s="36">
        <f>AE61*(AE43+AE42)</f>
        <v>133087.5</v>
      </c>
      <c r="AF62" s="61"/>
      <c r="AH62" s="26" t="s">
        <v>127</v>
      </c>
      <c r="AI62" s="104">
        <v>450</v>
      </c>
      <c r="AJ62" s="42" t="s">
        <v>128</v>
      </c>
      <c r="AL62" s="91"/>
      <c r="AM62" s="92"/>
      <c r="AN62" s="93"/>
      <c r="AP62" s="26" t="s">
        <v>115</v>
      </c>
      <c r="AQ62" s="14">
        <f>0.6*0.8</f>
        <v>0.48</v>
      </c>
      <c r="AR62" s="42"/>
      <c r="AT62" s="26" t="s">
        <v>115</v>
      </c>
      <c r="AU62" s="14">
        <v>0.48</v>
      </c>
      <c r="AV62" s="42"/>
      <c r="AY62" s="70" t="s">
        <v>137</v>
      </c>
      <c r="AZ62" s="121">
        <f>AZ61*AZ51</f>
        <v>39898.500000000007</v>
      </c>
      <c r="BA62" s="72"/>
      <c r="BC62" s="79" t="s">
        <v>137</v>
      </c>
      <c r="BD62" s="122">
        <f>MIN(BD50,C30)</f>
        <v>68250</v>
      </c>
      <c r="BE62" s="81"/>
      <c r="BH62" s="60" t="s">
        <v>121</v>
      </c>
      <c r="BI62" s="36">
        <v>0.08</v>
      </c>
      <c r="BJ62" s="61" t="s">
        <v>122</v>
      </c>
    </row>
    <row r="63" spans="2:65">
      <c r="I63" s="32" t="s">
        <v>141</v>
      </c>
      <c r="J63" s="36">
        <v>23</v>
      </c>
      <c r="K63" s="34" t="s">
        <v>142</v>
      </c>
      <c r="M63" s="26" t="s">
        <v>141</v>
      </c>
      <c r="N63" s="14">
        <f>J63</f>
        <v>23</v>
      </c>
      <c r="O63" s="42" t="s">
        <v>142</v>
      </c>
      <c r="Q63" s="26" t="s">
        <v>143</v>
      </c>
      <c r="R63" s="104">
        <f>N41*10/24*J60</f>
        <v>21808.124999999996</v>
      </c>
      <c r="S63" s="42"/>
      <c r="U63" s="26" t="s">
        <v>143</v>
      </c>
      <c r="V63" s="119">
        <f>N41*J60</f>
        <v>52339.499999999993</v>
      </c>
      <c r="W63" s="42"/>
      <c r="Y63" s="51" t="s">
        <v>143</v>
      </c>
      <c r="Z63" s="120">
        <f>Z42/C23*24*365*C18</f>
        <v>52483.289835164825</v>
      </c>
      <c r="AA63" s="53"/>
      <c r="AD63" s="60" t="s">
        <v>138</v>
      </c>
      <c r="AE63" s="36">
        <f>(AE42+AE43)*0.92/1000</f>
        <v>583.04999999999995</v>
      </c>
      <c r="AF63" s="61" t="s">
        <v>139</v>
      </c>
      <c r="AH63" s="26" t="s">
        <v>132</v>
      </c>
      <c r="AI63" s="104">
        <f>AI62*AI60</f>
        <v>315438.95089285704</v>
      </c>
      <c r="AJ63" s="42"/>
      <c r="AL63" s="91" t="s">
        <v>118</v>
      </c>
      <c r="AM63" s="92">
        <f>AM54/(AM56*(AM61))</f>
        <v>249.63513049450546</v>
      </c>
      <c r="AN63" s="93" t="s">
        <v>119</v>
      </c>
      <c r="AP63" s="26"/>
      <c r="AQ63" s="14"/>
      <c r="AR63" s="42"/>
      <c r="AT63" s="26"/>
      <c r="AU63" s="14"/>
      <c r="AV63" s="42"/>
      <c r="AY63" s="70" t="s">
        <v>138</v>
      </c>
      <c r="AZ63" s="71">
        <f>(AZ51)*0.92/1000</f>
        <v>305.88850000000008</v>
      </c>
      <c r="BA63" s="72" t="s">
        <v>139</v>
      </c>
      <c r="BC63" s="79" t="s">
        <v>138</v>
      </c>
      <c r="BD63" s="80">
        <f>MIN(BD51,(C25/C23))*0.92/1000</f>
        <v>229.29685714285714</v>
      </c>
      <c r="BE63" s="81" t="s">
        <v>139</v>
      </c>
      <c r="BH63" s="60" t="s">
        <v>125</v>
      </c>
      <c r="BI63" s="36">
        <v>20</v>
      </c>
      <c r="BJ63" s="61" t="s">
        <v>126</v>
      </c>
    </row>
    <row r="64" spans="2:65">
      <c r="I64" s="32" t="s">
        <v>144</v>
      </c>
      <c r="J64" s="33">
        <f>J62*J63</f>
        <v>6877</v>
      </c>
      <c r="K64" s="34"/>
      <c r="M64" s="26" t="s">
        <v>144</v>
      </c>
      <c r="N64" s="104">
        <f>N62*N63</f>
        <v>12150.827714285713</v>
      </c>
      <c r="O64" s="42"/>
      <c r="Q64" s="26" t="s">
        <v>138</v>
      </c>
      <c r="R64" s="14">
        <f>N41*C35/24*0.92/1000</f>
        <v>95.540357142857133</v>
      </c>
      <c r="S64" s="42" t="s">
        <v>139</v>
      </c>
      <c r="U64" s="26" t="s">
        <v>138</v>
      </c>
      <c r="V64" s="14">
        <f>N41*0.92/1000</f>
        <v>229.29685714285714</v>
      </c>
      <c r="W64" s="42" t="s">
        <v>139</v>
      </c>
      <c r="Y64" s="51" t="s">
        <v>138</v>
      </c>
      <c r="Z64" s="52">
        <f>Z42/C23*24*365*0.92/1000</f>
        <v>229.92679356357922</v>
      </c>
      <c r="AA64" s="53" t="s">
        <v>139</v>
      </c>
      <c r="AD64" s="60" t="s">
        <v>141</v>
      </c>
      <c r="AE64" s="36">
        <f>J63</f>
        <v>23</v>
      </c>
      <c r="AF64" s="61" t="s">
        <v>142</v>
      </c>
      <c r="AH64" s="26"/>
      <c r="AI64" s="14"/>
      <c r="AJ64" s="42"/>
      <c r="AL64" s="91"/>
      <c r="AM64" s="92"/>
      <c r="AN64" s="93"/>
      <c r="AP64" s="26" t="s">
        <v>118</v>
      </c>
      <c r="AQ64" s="14">
        <f>(AQ58+AQ54)/(AQ61*(AQ62))</f>
        <v>1248.1756524725274</v>
      </c>
      <c r="AR64" s="42" t="s">
        <v>119</v>
      </c>
      <c r="AT64" s="26" t="s">
        <v>118</v>
      </c>
      <c r="AU64" s="14">
        <f>(AU58+AU54)/(AU61*(AU62))</f>
        <v>3269.0314707613807</v>
      </c>
      <c r="AV64" s="42" t="s">
        <v>119</v>
      </c>
      <c r="AY64" s="70" t="s">
        <v>141</v>
      </c>
      <c r="AZ64" s="71">
        <v>23</v>
      </c>
      <c r="BA64" s="72" t="s">
        <v>142</v>
      </c>
      <c r="BC64" s="79" t="s">
        <v>141</v>
      </c>
      <c r="BD64" s="80">
        <v>23</v>
      </c>
      <c r="BE64" s="81" t="s">
        <v>142</v>
      </c>
      <c r="BH64" s="60" t="s">
        <v>131</v>
      </c>
      <c r="BI64" s="117">
        <f>BI54*BI62*BI63/5</f>
        <v>185120</v>
      </c>
      <c r="BJ64" s="61"/>
    </row>
    <row r="65" spans="9:62">
      <c r="I65" s="32" t="s">
        <v>145</v>
      </c>
      <c r="J65" s="36">
        <v>0</v>
      </c>
      <c r="K65" s="34" t="s">
        <v>146</v>
      </c>
      <c r="M65" s="26" t="s">
        <v>147</v>
      </c>
      <c r="N65" s="104">
        <f>N61+N64</f>
        <v>132740.32771428573</v>
      </c>
      <c r="O65" s="42"/>
      <c r="Q65" s="26" t="s">
        <v>141</v>
      </c>
      <c r="R65" s="14">
        <f>J63</f>
        <v>23</v>
      </c>
      <c r="S65" s="42" t="s">
        <v>142</v>
      </c>
      <c r="U65" s="26" t="s">
        <v>141</v>
      </c>
      <c r="V65" s="14">
        <f>J63</f>
        <v>23</v>
      </c>
      <c r="W65" s="42" t="s">
        <v>142</v>
      </c>
      <c r="Y65" s="51" t="s">
        <v>141</v>
      </c>
      <c r="Z65" s="52">
        <f>J63</f>
        <v>23</v>
      </c>
      <c r="AA65" s="53" t="s">
        <v>142</v>
      </c>
      <c r="AD65" s="60" t="s">
        <v>144</v>
      </c>
      <c r="AE65" s="109">
        <f>AE63*AE64</f>
        <v>13410.15</v>
      </c>
      <c r="AF65" s="61"/>
      <c r="AH65" s="26" t="s">
        <v>136</v>
      </c>
      <c r="AI65" s="104">
        <f>AI63+AI48</f>
        <v>625301.48286216648</v>
      </c>
      <c r="AJ65" s="42"/>
      <c r="AL65" s="91" t="s">
        <v>127</v>
      </c>
      <c r="AM65" s="104">
        <v>450</v>
      </c>
      <c r="AN65" s="93" t="s">
        <v>128</v>
      </c>
      <c r="AP65" s="26"/>
      <c r="AQ65" s="14"/>
      <c r="AR65" s="42"/>
      <c r="AT65" s="26"/>
      <c r="AU65" s="14"/>
      <c r="AV65" s="42"/>
      <c r="AY65" s="70" t="s">
        <v>144</v>
      </c>
      <c r="AZ65" s="121">
        <f>AZ63*AZ64</f>
        <v>7035.4355000000014</v>
      </c>
      <c r="BA65" s="72"/>
      <c r="BC65" s="79" t="s">
        <v>144</v>
      </c>
      <c r="BD65" s="122">
        <f>BD63*BD64</f>
        <v>5273.8277142857141</v>
      </c>
      <c r="BE65" s="81"/>
      <c r="BH65" s="60"/>
      <c r="BI65" s="36"/>
      <c r="BJ65" s="61"/>
    </row>
    <row r="66" spans="9:62">
      <c r="I66" s="32" t="s">
        <v>148</v>
      </c>
      <c r="J66" s="33">
        <f>J48*J65</f>
        <v>0</v>
      </c>
      <c r="K66" s="34"/>
      <c r="M66" s="26"/>
      <c r="N66" s="14"/>
      <c r="O66" s="42"/>
      <c r="Q66" s="26" t="s">
        <v>144</v>
      </c>
      <c r="R66" s="104">
        <f>R64*R65</f>
        <v>2197.4282142857141</v>
      </c>
      <c r="S66" s="42"/>
      <c r="U66" s="26" t="s">
        <v>144</v>
      </c>
      <c r="V66" s="119">
        <f>V64*V65</f>
        <v>5273.8277142857141</v>
      </c>
      <c r="W66" s="42"/>
      <c r="Y66" s="51" t="s">
        <v>144</v>
      </c>
      <c r="Z66" s="120">
        <f>Z64*Z65</f>
        <v>5288.316251962322</v>
      </c>
      <c r="AA66" s="53"/>
      <c r="AD66" s="60" t="s">
        <v>145</v>
      </c>
      <c r="AE66" s="36">
        <f>J65</f>
        <v>0</v>
      </c>
      <c r="AF66" s="61" t="s">
        <v>146</v>
      </c>
      <c r="AH66" s="26" t="s">
        <v>114</v>
      </c>
      <c r="AI66" s="104">
        <f>AI65*(1-$C$32)</f>
        <v>418951.99351765151</v>
      </c>
      <c r="AJ66" s="42"/>
      <c r="AL66" s="91" t="s">
        <v>132</v>
      </c>
      <c r="AM66" s="104">
        <f>AM65*AM63</f>
        <v>112335.80872252745</v>
      </c>
      <c r="AN66" s="93"/>
      <c r="AP66" s="26" t="s">
        <v>127</v>
      </c>
      <c r="AQ66" s="104">
        <v>450</v>
      </c>
      <c r="AR66" s="42" t="s">
        <v>128</v>
      </c>
      <c r="AT66" s="26" t="s">
        <v>127</v>
      </c>
      <c r="AU66" s="104">
        <v>450</v>
      </c>
      <c r="AV66" s="42" t="s">
        <v>128</v>
      </c>
      <c r="AY66" s="70" t="s">
        <v>145</v>
      </c>
      <c r="AZ66" s="71">
        <v>190</v>
      </c>
      <c r="BA66" s="72" t="s">
        <v>146</v>
      </c>
      <c r="BC66" s="79" t="s">
        <v>145</v>
      </c>
      <c r="BD66" s="80">
        <v>190</v>
      </c>
      <c r="BE66" s="81" t="s">
        <v>146</v>
      </c>
      <c r="BH66" s="60" t="s">
        <v>14</v>
      </c>
      <c r="BI66" s="115">
        <f>C18</f>
        <v>0.21</v>
      </c>
      <c r="BJ66" s="61" t="s">
        <v>15</v>
      </c>
    </row>
    <row r="67" spans="9:62">
      <c r="I67" s="32" t="s">
        <v>147</v>
      </c>
      <c r="J67" s="33">
        <f>J61+J64+J66</f>
        <v>75127</v>
      </c>
      <c r="K67" s="34"/>
      <c r="M67" s="26" t="s">
        <v>149</v>
      </c>
      <c r="N67" s="27">
        <f>(N53+N58)/N65</f>
        <v>14.548404642760012</v>
      </c>
      <c r="O67" s="42" t="s">
        <v>126</v>
      </c>
      <c r="Q67" s="26" t="s">
        <v>147</v>
      </c>
      <c r="R67" s="104">
        <f>R63+R66</f>
        <v>24005.553214285712</v>
      </c>
      <c r="S67" s="42"/>
      <c r="U67" s="26" t="s">
        <v>147</v>
      </c>
      <c r="V67" s="119">
        <f>V63+V66</f>
        <v>57613.327714285704</v>
      </c>
      <c r="W67" s="42"/>
      <c r="Y67" s="51" t="s">
        <v>145</v>
      </c>
      <c r="Z67" s="52">
        <f>J65</f>
        <v>0</v>
      </c>
      <c r="AA67" s="53" t="s">
        <v>146</v>
      </c>
      <c r="AD67" s="60" t="s">
        <v>148</v>
      </c>
      <c r="AE67" s="36">
        <f>AE49*AE66</f>
        <v>0</v>
      </c>
      <c r="AF67" s="61"/>
      <c r="AH67" s="26" t="s">
        <v>121</v>
      </c>
      <c r="AI67" s="14">
        <v>0.1</v>
      </c>
      <c r="AJ67" s="42" t="s">
        <v>150</v>
      </c>
      <c r="AL67" s="91"/>
      <c r="AM67" s="92"/>
      <c r="AN67" s="93"/>
      <c r="AP67" s="26" t="s">
        <v>132</v>
      </c>
      <c r="AQ67" s="104">
        <f>AQ66*AQ64</f>
        <v>561679.04361263732</v>
      </c>
      <c r="AR67" s="42"/>
      <c r="AT67" s="26" t="s">
        <v>132</v>
      </c>
      <c r="AU67" s="104">
        <f>AU66*AU64</f>
        <v>1471064.1618426214</v>
      </c>
      <c r="AV67" s="42"/>
      <c r="AY67" s="70" t="s">
        <v>148</v>
      </c>
      <c r="AZ67" s="121">
        <f>AZ48*AZ66</f>
        <v>7976.3415404040416</v>
      </c>
      <c r="BA67" s="72"/>
      <c r="BC67" s="79" t="s">
        <v>148</v>
      </c>
      <c r="BD67" s="122">
        <f>BD49*BD66</f>
        <v>8862.601711560048</v>
      </c>
      <c r="BE67" s="81"/>
      <c r="BH67" s="60" t="s">
        <v>137</v>
      </c>
      <c r="BI67" s="109">
        <f>BI66*(BI43+BI42)</f>
        <v>133087.5</v>
      </c>
      <c r="BJ67" s="61"/>
    </row>
    <row r="68" spans="9:62">
      <c r="I68" s="32"/>
      <c r="J68" s="33"/>
      <c r="K68" s="34"/>
      <c r="M68" s="26"/>
      <c r="N68" s="46">
        <f>1/N67</f>
        <v>6.8736059008205286E-2</v>
      </c>
      <c r="O68" s="42"/>
      <c r="Q68" s="26"/>
      <c r="R68" s="14"/>
      <c r="S68" s="42"/>
      <c r="U68" s="26"/>
      <c r="V68" s="14"/>
      <c r="W68" s="42"/>
      <c r="Y68" s="51" t="s">
        <v>148</v>
      </c>
      <c r="Z68" s="52">
        <f>Z42/C23*Z67</f>
        <v>0</v>
      </c>
      <c r="AA68" s="53"/>
      <c r="AD68" s="60" t="s">
        <v>147</v>
      </c>
      <c r="AE68" s="109">
        <f>AE62+AE65+AE67</f>
        <v>146497.65</v>
      </c>
      <c r="AF68" s="61"/>
      <c r="AH68" s="26" t="s">
        <v>140</v>
      </c>
      <c r="AI68" s="14">
        <v>10</v>
      </c>
      <c r="AJ68" s="42" t="s">
        <v>126</v>
      </c>
      <c r="AL68" s="91" t="s">
        <v>136</v>
      </c>
      <c r="AM68" s="104">
        <f>AM66+AM48</f>
        <v>174138.06097794467</v>
      </c>
      <c r="AN68" s="93"/>
      <c r="AP68" s="26"/>
      <c r="AQ68" s="14"/>
      <c r="AR68" s="42"/>
      <c r="AT68" s="26"/>
      <c r="AU68" s="14"/>
      <c r="AV68" s="42"/>
      <c r="AY68" s="70" t="s">
        <v>147</v>
      </c>
      <c r="AZ68" s="121">
        <f>AZ62+AZ65+AZ67</f>
        <v>54910.277040404049</v>
      </c>
      <c r="BA68" s="72"/>
      <c r="BC68" s="79" t="s">
        <v>147</v>
      </c>
      <c r="BD68" s="122">
        <f>BD62+BD65+BD67</f>
        <v>82386.429425845767</v>
      </c>
      <c r="BE68" s="81"/>
      <c r="BH68" s="60" t="s">
        <v>138</v>
      </c>
      <c r="BI68" s="36">
        <f>(BI42+BI43)*0.92/1000</f>
        <v>583.04999999999995</v>
      </c>
      <c r="BJ68" s="61" t="s">
        <v>139</v>
      </c>
    </row>
    <row r="69" spans="9:62">
      <c r="I69" s="32" t="s">
        <v>149</v>
      </c>
      <c r="J69" s="85">
        <f>(J53+J58)/J67</f>
        <v>5.6576197638665198</v>
      </c>
      <c r="K69" s="34" t="s">
        <v>126</v>
      </c>
      <c r="M69" s="26" t="s">
        <v>151</v>
      </c>
      <c r="N69" s="27">
        <f>(N54+N58)/N65</f>
        <v>10.911303482070009</v>
      </c>
      <c r="O69" s="42" t="s">
        <v>126</v>
      </c>
      <c r="Q69" s="26" t="s">
        <v>149</v>
      </c>
      <c r="R69" s="27">
        <f>(R60+R60*R61*R62/5)/R67</f>
        <v>47.699078239449733</v>
      </c>
      <c r="S69" s="42" t="s">
        <v>126</v>
      </c>
      <c r="U69" s="26" t="s">
        <v>149</v>
      </c>
      <c r="V69" s="27">
        <f>(V59+V59*V61*V62/5)/V67</f>
        <v>18.291421267521311</v>
      </c>
      <c r="W69" s="42" t="s">
        <v>126</v>
      </c>
      <c r="Y69" s="51" t="s">
        <v>152</v>
      </c>
      <c r="Z69" s="120">
        <f>Z63+Z66+Z68</f>
        <v>57771.606087127147</v>
      </c>
      <c r="AA69" s="53"/>
      <c r="AD69" s="60"/>
      <c r="AE69" s="36"/>
      <c r="AF69" s="61"/>
      <c r="AH69" s="26" t="s">
        <v>143</v>
      </c>
      <c r="AI69" s="104">
        <f>(AI53*7*C34+AI54*365)*AI50/C23*C18</f>
        <v>39302.554945054937</v>
      </c>
      <c r="AJ69" s="42">
        <f>(AI53*7*C34+AI54*365)*AI50/C23*C18</f>
        <v>39302.554945054937</v>
      </c>
      <c r="AL69" s="91" t="s">
        <v>114</v>
      </c>
      <c r="AM69" s="104">
        <f>AM68*(1-$C$32)</f>
        <v>116672.50085522291</v>
      </c>
      <c r="AN69" s="93"/>
      <c r="AP69" s="26" t="s">
        <v>136</v>
      </c>
      <c r="AQ69" s="104">
        <f>AQ67+AQ48+AQ57</f>
        <v>660926.56544223032</v>
      </c>
      <c r="AR69" s="42"/>
      <c r="AT69" s="26" t="s">
        <v>136</v>
      </c>
      <c r="AU69" s="104">
        <f>AU67+AU51+AU57</f>
        <v>1663283.2123233904</v>
      </c>
      <c r="AV69" s="42"/>
      <c r="AY69" s="70"/>
      <c r="AZ69" s="71"/>
      <c r="BA69" s="72"/>
      <c r="BC69" s="79"/>
      <c r="BD69" s="80"/>
      <c r="BE69" s="81"/>
      <c r="BH69" s="60" t="s">
        <v>141</v>
      </c>
      <c r="BI69" s="36">
        <f>J63</f>
        <v>23</v>
      </c>
      <c r="BJ69" s="61" t="s">
        <v>142</v>
      </c>
    </row>
    <row r="70" spans="9:62">
      <c r="I70" s="32"/>
      <c r="J70" s="35">
        <f>1/J69</f>
        <v>0.17675277620929794</v>
      </c>
      <c r="K70" s="34"/>
      <c r="M70" s="26"/>
      <c r="N70" s="46">
        <f>1/N69</f>
        <v>9.1648078677607048E-2</v>
      </c>
      <c r="O70" s="42"/>
      <c r="Q70" s="26"/>
      <c r="R70" s="27"/>
      <c r="S70" s="42"/>
      <c r="U70" s="26"/>
      <c r="V70" s="27"/>
      <c r="W70" s="42"/>
      <c r="Y70" s="51"/>
      <c r="Z70" s="52"/>
      <c r="AA70" s="53"/>
      <c r="AD70" s="60" t="s">
        <v>149</v>
      </c>
      <c r="AE70" s="87">
        <f>(AE54+AE59)/AE68</f>
        <v>5.6134688849957666</v>
      </c>
      <c r="AF70" s="61" t="s">
        <v>126</v>
      </c>
      <c r="AH70" s="26" t="s">
        <v>138</v>
      </c>
      <c r="AI70" s="14">
        <f>(AI53*7*C34+AI54*365)*AI50/C23*0.92/1000</f>
        <v>172.18262166405023</v>
      </c>
      <c r="AJ70" s="42" t="s">
        <v>139</v>
      </c>
      <c r="AL70" s="91" t="s">
        <v>121</v>
      </c>
      <c r="AM70" s="92">
        <v>0.1</v>
      </c>
      <c r="AN70" s="93" t="s">
        <v>150</v>
      </c>
      <c r="AP70" s="26" t="s">
        <v>114</v>
      </c>
      <c r="AQ70" s="104">
        <f>AQ69*(1-$C$32)</f>
        <v>442820.79884629429</v>
      </c>
      <c r="AR70" s="42"/>
      <c r="AT70" s="26" t="s">
        <v>114</v>
      </c>
      <c r="AU70" s="104">
        <f>AU69*(1-$C$32)</f>
        <v>1114399.7522566714</v>
      </c>
      <c r="AV70" s="42"/>
      <c r="AY70" s="70" t="s">
        <v>149</v>
      </c>
      <c r="AZ70" s="98">
        <f>(AZ54+AZ59)/AZ68</f>
        <v>8.0734735018813648</v>
      </c>
      <c r="BA70" s="72" t="s">
        <v>126</v>
      </c>
      <c r="BC70" s="79" t="s">
        <v>149</v>
      </c>
      <c r="BD70" s="100">
        <f>(BD54+BD59)/BD68</f>
        <v>4.529413156140226</v>
      </c>
      <c r="BE70" s="81" t="s">
        <v>126</v>
      </c>
      <c r="BH70" s="60" t="s">
        <v>144</v>
      </c>
      <c r="BI70" s="109">
        <f>BI68*BI69</f>
        <v>13410.15</v>
      </c>
      <c r="BJ70" s="61"/>
    </row>
    <row r="71" spans="9:62">
      <c r="I71" s="32" t="s">
        <v>151</v>
      </c>
      <c r="J71" s="85">
        <f>(J54+J58)/J67</f>
        <v>4.2432148228998896</v>
      </c>
      <c r="K71" s="34" t="s">
        <v>126</v>
      </c>
      <c r="M71" s="26"/>
      <c r="N71" s="14"/>
      <c r="O71" s="42"/>
      <c r="Q71" s="26" t="s">
        <v>151</v>
      </c>
      <c r="R71" s="27">
        <f>(R60*(1-C32)+R60*R61*R62/5)/R67</f>
        <v>36.455724083008015</v>
      </c>
      <c r="S71" s="42" t="s">
        <v>126</v>
      </c>
      <c r="U71" s="26" t="s">
        <v>151</v>
      </c>
      <c r="V71" s="27">
        <f>(V60+V60*V61*V62/5)/V67</f>
        <v>12.255252249239277</v>
      </c>
      <c r="W71" s="42" t="s">
        <v>126</v>
      </c>
      <c r="Y71" s="51" t="s">
        <v>149</v>
      </c>
      <c r="Z71" s="86">
        <f>(Z59+Z59*Z61*Z62/5)/Z69</f>
        <v>4.5797136323754382</v>
      </c>
      <c r="AA71" s="53" t="s">
        <v>126</v>
      </c>
      <c r="AD71" s="60"/>
      <c r="AE71" s="87"/>
      <c r="AF71" s="61"/>
      <c r="AH71" s="26" t="s">
        <v>141</v>
      </c>
      <c r="AI71" s="14">
        <f>J63</f>
        <v>23</v>
      </c>
      <c r="AJ71" s="42" t="s">
        <v>142</v>
      </c>
      <c r="AL71" s="91" t="s">
        <v>140</v>
      </c>
      <c r="AM71" s="92">
        <v>10</v>
      </c>
      <c r="AN71" s="93" t="s">
        <v>126</v>
      </c>
      <c r="AP71" s="26" t="s">
        <v>121</v>
      </c>
      <c r="AQ71" s="14">
        <v>0.1</v>
      </c>
      <c r="AR71" s="42" t="s">
        <v>150</v>
      </c>
      <c r="AT71" s="26" t="s">
        <v>121</v>
      </c>
      <c r="AU71" s="14">
        <v>0.1</v>
      </c>
      <c r="AV71" s="42" t="s">
        <v>150</v>
      </c>
      <c r="AY71" s="70"/>
      <c r="AZ71" s="99">
        <f>1/AZ70</f>
        <v>0.12386242424242423</v>
      </c>
      <c r="BA71" s="72"/>
      <c r="BC71" s="79"/>
      <c r="BD71" s="101">
        <f>1/BD70</f>
        <v>0.22077915295591133</v>
      </c>
      <c r="BE71" s="81"/>
      <c r="BH71" s="60" t="s">
        <v>145</v>
      </c>
      <c r="BI71" s="36">
        <f>J65</f>
        <v>0</v>
      </c>
      <c r="BJ71" s="61" t="s">
        <v>146</v>
      </c>
    </row>
    <row r="72" spans="9:62">
      <c r="I72" s="32"/>
      <c r="J72" s="35">
        <f>1/J71</f>
        <v>0.23567036827906393</v>
      </c>
      <c r="K72" s="34"/>
      <c r="M72" s="26" t="s">
        <v>153</v>
      </c>
      <c r="N72" s="46">
        <f>N61/(C17*N60)</f>
        <v>0.4417197802197802</v>
      </c>
      <c r="O72" s="42"/>
      <c r="Q72" s="26"/>
      <c r="R72" s="14"/>
      <c r="S72" s="42"/>
      <c r="U72" s="26"/>
      <c r="V72" s="14"/>
      <c r="W72" s="42"/>
      <c r="Y72" s="51"/>
      <c r="Z72" s="86"/>
      <c r="AA72" s="53"/>
      <c r="AD72" s="60" t="s">
        <v>151</v>
      </c>
      <c r="AE72" s="87">
        <f>(AE55+AE59)/AE68</f>
        <v>4.2101016637468245</v>
      </c>
      <c r="AF72" s="61" t="s">
        <v>126</v>
      </c>
      <c r="AH72" s="26" t="s">
        <v>144</v>
      </c>
      <c r="AI72" s="104">
        <f>AI70*AI71</f>
        <v>3960.2002982731551</v>
      </c>
      <c r="AJ72" s="42"/>
      <c r="AL72" s="91" t="s">
        <v>143</v>
      </c>
      <c r="AM72" s="104">
        <f>AM54*AM50/$C$23*365*$C$18</f>
        <v>17494.429945054944</v>
      </c>
      <c r="AN72" s="93"/>
      <c r="AP72" s="26" t="s">
        <v>140</v>
      </c>
      <c r="AQ72" s="14">
        <v>10</v>
      </c>
      <c r="AR72" s="42" t="s">
        <v>126</v>
      </c>
      <c r="AT72" s="26" t="s">
        <v>140</v>
      </c>
      <c r="AU72" s="14">
        <v>10</v>
      </c>
      <c r="AV72" s="42" t="s">
        <v>126</v>
      </c>
      <c r="AY72" s="70" t="s">
        <v>151</v>
      </c>
      <c r="AZ72" s="98">
        <f>(AZ55+AZ59)/AZ68</f>
        <v>6.4083195921183327</v>
      </c>
      <c r="BA72" s="72" t="s">
        <v>126</v>
      </c>
      <c r="BC72" s="79" t="s">
        <v>151</v>
      </c>
      <c r="BD72" s="100">
        <f>(BD55+BD59)/BD68</f>
        <v>3.5952216926863048</v>
      </c>
      <c r="BE72" s="81" t="s">
        <v>126</v>
      </c>
      <c r="BH72" s="60" t="s">
        <v>148</v>
      </c>
      <c r="BI72" s="36">
        <f>BI45*BI71</f>
        <v>0</v>
      </c>
      <c r="BJ72" s="61"/>
    </row>
    <row r="73" spans="9:62" ht="15.75" thickBot="1">
      <c r="I73" s="32"/>
      <c r="J73" s="33"/>
      <c r="K73" s="34"/>
      <c r="M73" s="26"/>
      <c r="N73" s="14"/>
      <c r="O73" s="42"/>
      <c r="Q73" s="43" t="s">
        <v>153</v>
      </c>
      <c r="R73" s="47">
        <f>N41*C35/24/C17</f>
        <v>7.9883241758241755E-2</v>
      </c>
      <c r="S73" s="45"/>
      <c r="U73" s="43" t="s">
        <v>153</v>
      </c>
      <c r="V73" s="47">
        <f>N41/C17</f>
        <v>0.1917197802197802</v>
      </c>
      <c r="W73" s="45"/>
      <c r="Y73" s="51" t="s">
        <v>151</v>
      </c>
      <c r="Z73" s="86">
        <f>(Z60+Z60*Z61*Z62/5)/Z69</f>
        <v>3.0684081336915434</v>
      </c>
      <c r="AA73" s="53" t="s">
        <v>126</v>
      </c>
      <c r="AD73" s="60"/>
      <c r="AE73" s="36"/>
      <c r="AF73" s="61"/>
      <c r="AH73" s="26" t="s">
        <v>145</v>
      </c>
      <c r="AI73" s="14">
        <f>J65</f>
        <v>0</v>
      </c>
      <c r="AJ73" s="42" t="s">
        <v>146</v>
      </c>
      <c r="AL73" s="91" t="s">
        <v>138</v>
      </c>
      <c r="AM73" s="92">
        <f>AM54*AM50/$C$23*365*0.92/1000</f>
        <v>76.642264521193098</v>
      </c>
      <c r="AN73" s="93" t="s">
        <v>139</v>
      </c>
      <c r="AP73" s="26" t="s">
        <v>143</v>
      </c>
      <c r="AQ73" s="104">
        <f>C30</f>
        <v>68250</v>
      </c>
      <c r="AR73" s="42"/>
      <c r="AT73" s="26" t="s">
        <v>143</v>
      </c>
      <c r="AU73" s="104">
        <f>AQ73</f>
        <v>68250</v>
      </c>
      <c r="AV73" s="42"/>
      <c r="AY73" s="70"/>
      <c r="AZ73" s="99">
        <f>1/AZ72</f>
        <v>0.15604714865187305</v>
      </c>
      <c r="BA73" s="72"/>
      <c r="BC73" s="79"/>
      <c r="BD73" s="101">
        <f>1/BD72</f>
        <v>0.27814696435390401</v>
      </c>
      <c r="BE73" s="81"/>
      <c r="BH73" s="60" t="s">
        <v>147</v>
      </c>
      <c r="BI73" s="109">
        <f>BI67+BI70+BI72</f>
        <v>146497.65</v>
      </c>
      <c r="BJ73" s="61"/>
    </row>
    <row r="74" spans="9:62" ht="15.75" thickBot="1">
      <c r="I74" s="37" t="s">
        <v>153</v>
      </c>
      <c r="J74" s="39">
        <f>J61/(C17*J60)</f>
        <v>0.25</v>
      </c>
      <c r="K74" s="38"/>
      <c r="M74" s="43"/>
      <c r="N74" s="44"/>
      <c r="O74" s="45"/>
      <c r="Y74" s="51"/>
      <c r="Z74" s="52"/>
      <c r="AA74" s="53"/>
      <c r="AD74" s="60"/>
      <c r="AE74" s="36"/>
      <c r="AF74" s="61"/>
      <c r="AH74" s="26" t="s">
        <v>148</v>
      </c>
      <c r="AI74" s="14">
        <f>AI42/$C$23*AI73</f>
        <v>0</v>
      </c>
      <c r="AJ74" s="42"/>
      <c r="AL74" s="91" t="s">
        <v>141</v>
      </c>
      <c r="AM74" s="92">
        <v>23</v>
      </c>
      <c r="AN74" s="93" t="s">
        <v>142</v>
      </c>
      <c r="AP74" s="26" t="s">
        <v>138</v>
      </c>
      <c r="AQ74" s="14">
        <f>(AQ58+AQ54)*AQ50/$C$23*365*0.92/1000</f>
        <v>383.21132260596539</v>
      </c>
      <c r="AR74" s="42" t="s">
        <v>139</v>
      </c>
      <c r="AT74" s="26" t="s">
        <v>138</v>
      </c>
      <c r="AU74" s="14">
        <f>AQ74</f>
        <v>383.21132260596539</v>
      </c>
      <c r="AV74" s="42" t="s">
        <v>139</v>
      </c>
      <c r="AY74" s="70"/>
      <c r="AZ74" s="71"/>
      <c r="BA74" s="72"/>
      <c r="BC74" s="79"/>
      <c r="BD74" s="80"/>
      <c r="BE74" s="81"/>
      <c r="BH74" s="60"/>
      <c r="BI74" s="36"/>
      <c r="BJ74" s="61"/>
    </row>
    <row r="75" spans="9:62" ht="15.75" thickBot="1">
      <c r="Y75" s="54" t="s">
        <v>153</v>
      </c>
      <c r="Z75" s="56">
        <f>Z63/C19</f>
        <v>0.19224648291269167</v>
      </c>
      <c r="AA75" s="55"/>
      <c r="AD75" s="64" t="s">
        <v>153</v>
      </c>
      <c r="AE75" s="66">
        <f>AE62/C19</f>
        <v>0.48749999999999999</v>
      </c>
      <c r="AF75" s="65"/>
      <c r="AH75" s="26" t="s">
        <v>147</v>
      </c>
      <c r="AI75" s="104">
        <f>AI69+AI72+AI74</f>
        <v>43262.755243328094</v>
      </c>
      <c r="AJ75" s="42"/>
      <c r="AL75" s="91" t="s">
        <v>144</v>
      </c>
      <c r="AM75" s="104">
        <f>AM73*AM74</f>
        <v>1762.7720839874412</v>
      </c>
      <c r="AN75" s="93"/>
      <c r="AP75" s="26" t="s">
        <v>141</v>
      </c>
      <c r="AQ75" s="14">
        <v>23</v>
      </c>
      <c r="AR75" s="42" t="s">
        <v>142</v>
      </c>
      <c r="AT75" s="26" t="s">
        <v>141</v>
      </c>
      <c r="AU75" s="14">
        <v>20</v>
      </c>
      <c r="AV75" s="42" t="s">
        <v>142</v>
      </c>
      <c r="AY75" s="73" t="s">
        <v>153</v>
      </c>
      <c r="AZ75" s="75">
        <f>AZ62/C19</f>
        <v>0.14614835164835169</v>
      </c>
      <c r="BA75" s="74"/>
      <c r="BC75" s="82" t="s">
        <v>153</v>
      </c>
      <c r="BD75" s="84">
        <f>BD62/C19</f>
        <v>0.25</v>
      </c>
      <c r="BE75" s="83"/>
      <c r="BH75" s="60" t="s">
        <v>149</v>
      </c>
      <c r="BI75" s="87">
        <f>(BI54+BI64)/BI73</f>
        <v>5.2125068217817834</v>
      </c>
      <c r="BJ75" s="61" t="s">
        <v>126</v>
      </c>
    </row>
    <row r="76" spans="9:62">
      <c r="AH76" s="26"/>
      <c r="AI76" s="14"/>
      <c r="AJ76" s="42"/>
      <c r="AL76" s="91" t="s">
        <v>145</v>
      </c>
      <c r="AM76" s="92">
        <f>AI73</f>
        <v>0</v>
      </c>
      <c r="AN76" s="93" t="s">
        <v>146</v>
      </c>
      <c r="AP76" s="26" t="s">
        <v>144</v>
      </c>
      <c r="AQ76" s="104">
        <f>AQ74*AQ75</f>
        <v>8813.8604199372039</v>
      </c>
      <c r="AR76" s="42"/>
      <c r="AT76" s="26" t="s">
        <v>144</v>
      </c>
      <c r="AU76" s="104">
        <f>AU74*AU75</f>
        <v>7664.2264521193083</v>
      </c>
      <c r="AV76" s="42"/>
      <c r="BH76" s="60"/>
      <c r="BI76" s="87"/>
      <c r="BJ76" s="61"/>
    </row>
    <row r="77" spans="9:62">
      <c r="AH77" s="26" t="s">
        <v>149</v>
      </c>
      <c r="AI77" s="27">
        <f>(AI65+AI65*AI67*AI68/3)/AI75</f>
        <v>19.271433495014531</v>
      </c>
      <c r="AJ77" s="42" t="s">
        <v>126</v>
      </c>
      <c r="AL77" s="91" t="s">
        <v>148</v>
      </c>
      <c r="AM77" s="92"/>
      <c r="AN77" s="93"/>
      <c r="AP77" s="26" t="s">
        <v>145</v>
      </c>
      <c r="AQ77" s="14">
        <f>AM76</f>
        <v>0</v>
      </c>
      <c r="AR77" s="42" t="s">
        <v>146</v>
      </c>
      <c r="AT77" s="26" t="s">
        <v>145</v>
      </c>
      <c r="AU77" s="14">
        <f>AQ77</f>
        <v>0</v>
      </c>
      <c r="AV77" s="42" t="s">
        <v>146</v>
      </c>
      <c r="BH77" s="60" t="s">
        <v>151</v>
      </c>
      <c r="BI77" s="87">
        <f>(BI55+BI64)/BI73</f>
        <v>3.9093801163363371</v>
      </c>
      <c r="BJ77" s="61" t="s">
        <v>126</v>
      </c>
    </row>
    <row r="78" spans="9:62">
      <c r="AH78" s="26"/>
      <c r="AI78" s="27"/>
      <c r="AJ78" s="42"/>
      <c r="AL78" s="91" t="s">
        <v>147</v>
      </c>
      <c r="AM78" s="104">
        <f>AM72+AM75+AM77</f>
        <v>19257.202029042386</v>
      </c>
      <c r="AN78" s="93"/>
      <c r="AP78" s="26" t="s">
        <v>148</v>
      </c>
      <c r="AQ78" s="14"/>
      <c r="AR78" s="42"/>
      <c r="AT78" s="26" t="s">
        <v>148</v>
      </c>
      <c r="AU78" s="14"/>
      <c r="AV78" s="42"/>
      <c r="BH78" s="60"/>
      <c r="BI78" s="36"/>
      <c r="BJ78" s="61"/>
    </row>
    <row r="79" spans="9:62">
      <c r="AH79" s="26" t="s">
        <v>151</v>
      </c>
      <c r="AI79" s="27">
        <f>(AI66+AI65*AI67*AI68/3)/AI75</f>
        <v>14.501753704998436</v>
      </c>
      <c r="AJ79" s="42" t="s">
        <v>126</v>
      </c>
      <c r="AL79" s="91"/>
      <c r="AM79" s="92"/>
      <c r="AN79" s="93"/>
      <c r="AP79" s="26" t="s">
        <v>147</v>
      </c>
      <c r="AQ79" s="104">
        <f>AQ73+AQ76+AQ78</f>
        <v>77063.860419937206</v>
      </c>
      <c r="AR79" s="42"/>
      <c r="AT79" s="26" t="s">
        <v>147</v>
      </c>
      <c r="AU79" s="104">
        <f>AU73+AU76+AU78</f>
        <v>75914.226452119314</v>
      </c>
      <c r="AV79" s="42"/>
      <c r="BH79" s="60"/>
      <c r="BI79" s="36"/>
      <c r="BJ79" s="61"/>
    </row>
    <row r="80" spans="9:62" ht="15.75" thickBot="1">
      <c r="AH80" s="26"/>
      <c r="AI80" s="14"/>
      <c r="AJ80" s="42"/>
      <c r="AL80" s="91" t="s">
        <v>149</v>
      </c>
      <c r="AM80" s="97">
        <f>(AM68+AM68*AM70*AM71/3)/AM78</f>
        <v>12.056999815121749</v>
      </c>
      <c r="AN80" s="93" t="s">
        <v>126</v>
      </c>
      <c r="AP80" s="26"/>
      <c r="AQ80" s="14"/>
      <c r="AR80" s="42"/>
      <c r="AT80" s="26"/>
      <c r="AU80" s="14"/>
      <c r="AV80" s="42"/>
      <c r="BH80" s="64" t="s">
        <v>153</v>
      </c>
      <c r="BI80" s="66">
        <f>BI67/C19</f>
        <v>0.48749999999999999</v>
      </c>
      <c r="BJ80" s="65"/>
    </row>
    <row r="81" spans="34:48" ht="15.75" thickBot="1">
      <c r="AH81" s="43" t="s">
        <v>153</v>
      </c>
      <c r="AI81" s="47">
        <f>AI69/C19</f>
        <v>0.14396540272913896</v>
      </c>
      <c r="AJ81" s="45"/>
      <c r="AL81" s="91"/>
      <c r="AM81" s="97"/>
      <c r="AN81" s="93"/>
      <c r="AP81" s="26" t="s">
        <v>149</v>
      </c>
      <c r="AQ81" s="27">
        <f>(AQ69+AQ69*AQ71*AQ72/3)/AQ79</f>
        <v>11.435132055253954</v>
      </c>
      <c r="AR81" s="42" t="s">
        <v>126</v>
      </c>
      <c r="AT81" s="26" t="s">
        <v>149</v>
      </c>
      <c r="AU81" s="27">
        <f>(AU69+AU69*AU71*AU72/3)/AU79</f>
        <v>29.213377431478893</v>
      </c>
      <c r="AV81" s="42" t="s">
        <v>126</v>
      </c>
    </row>
    <row r="82" spans="34:48">
      <c r="AL82" s="91" t="s">
        <v>151</v>
      </c>
      <c r="AM82" s="97">
        <f>(AM69+AM68*AM70*AM71/3)/AM78</f>
        <v>9.0728923608791163</v>
      </c>
      <c r="AN82" s="93" t="s">
        <v>126</v>
      </c>
      <c r="AP82" s="26"/>
      <c r="AQ82" s="27"/>
      <c r="AR82" s="42"/>
      <c r="AT82" s="26"/>
      <c r="AU82" s="27"/>
      <c r="AV82" s="42"/>
    </row>
    <row r="83" spans="34:48">
      <c r="AL83" s="91"/>
      <c r="AM83" s="92"/>
      <c r="AN83" s="93"/>
      <c r="AP83" s="26" t="s">
        <v>151</v>
      </c>
      <c r="AQ83" s="27">
        <f>(AQ70+AQ69*AQ71*AQ72/3)/AQ79</f>
        <v>8.6049368715785999</v>
      </c>
      <c r="AR83" s="42" t="s">
        <v>126</v>
      </c>
      <c r="AT83" s="26" t="s">
        <v>151</v>
      </c>
      <c r="AU83" s="27">
        <f>(AU70+AU69*AU71*AU72/3)/AU79</f>
        <v>21.983066517187865</v>
      </c>
      <c r="AV83" s="42" t="s">
        <v>126</v>
      </c>
    </row>
    <row r="84" spans="34:48">
      <c r="AL84" s="91" t="s">
        <v>153</v>
      </c>
      <c r="AM84" s="46">
        <f>AM78/C19</f>
        <v>7.0539201571583832E-2</v>
      </c>
      <c r="AN84" s="93"/>
      <c r="AP84" s="26"/>
      <c r="AQ84" s="14"/>
      <c r="AR84" s="42"/>
      <c r="AT84" s="26"/>
      <c r="AU84" s="14"/>
      <c r="AV84" s="42"/>
    </row>
    <row r="85" spans="34:48">
      <c r="AL85" s="91"/>
      <c r="AM85" s="92"/>
      <c r="AN85" s="93"/>
      <c r="AP85" s="26" t="s">
        <v>153</v>
      </c>
      <c r="AQ85" s="46">
        <f>AQ73/C19</f>
        <v>0.25</v>
      </c>
      <c r="AR85" s="42"/>
      <c r="AT85" s="26" t="s">
        <v>153</v>
      </c>
      <c r="AU85" s="46">
        <f>AU73/C19</f>
        <v>0.25</v>
      </c>
      <c r="AV85" s="42"/>
    </row>
    <row r="86" spans="34:48">
      <c r="AL86" s="91"/>
      <c r="AM86" s="92"/>
      <c r="AN86" s="93"/>
      <c r="AP86" s="26"/>
      <c r="AQ86" s="14"/>
      <c r="AR86" s="42"/>
      <c r="AT86" s="26"/>
      <c r="AU86" s="14"/>
      <c r="AV86" s="42"/>
    </row>
    <row r="87" spans="34:48">
      <c r="AL87" s="91" t="s">
        <v>160</v>
      </c>
      <c r="AM87" s="92">
        <v>1.95</v>
      </c>
      <c r="AN87" s="93" t="s">
        <v>161</v>
      </c>
      <c r="AP87" s="26"/>
      <c r="AQ87" s="14"/>
      <c r="AR87" s="42"/>
      <c r="AT87" s="26"/>
      <c r="AU87" s="14"/>
      <c r="AV87" s="42"/>
    </row>
    <row r="88" spans="34:48" ht="15.75" thickBot="1">
      <c r="AL88" s="94" t="s">
        <v>166</v>
      </c>
      <c r="AM88" s="95">
        <f>AM73/AM87</f>
        <v>39.303725395483639</v>
      </c>
      <c r="AN88" s="96"/>
      <c r="AP88" s="26" t="s">
        <v>160</v>
      </c>
      <c r="AQ88" s="14">
        <v>1.95</v>
      </c>
      <c r="AR88" s="42" t="s">
        <v>161</v>
      </c>
      <c r="AT88" s="26" t="s">
        <v>160</v>
      </c>
      <c r="AU88" s="14">
        <v>1.95</v>
      </c>
      <c r="AV88" s="42" t="s">
        <v>161</v>
      </c>
    </row>
    <row r="89" spans="34:48" ht="15.75" thickBot="1">
      <c r="AP89" s="43" t="s">
        <v>166</v>
      </c>
      <c r="AQ89" s="44">
        <f>AQ74/AQ88</f>
        <v>196.51862697741817</v>
      </c>
      <c r="AR89" s="45"/>
      <c r="AT89" s="43" t="s">
        <v>166</v>
      </c>
      <c r="AU89" s="44">
        <f>AU74/AU88</f>
        <v>196.51862697741817</v>
      </c>
      <c r="AV89" s="45"/>
    </row>
    <row r="98" spans="2:21">
      <c r="B98" s="10" t="s">
        <v>196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2"/>
    </row>
    <row r="99" spans="2:21">
      <c r="B99" s="13" t="s">
        <v>154</v>
      </c>
      <c r="C99" s="14">
        <f>J45*(1-C12)/J46</f>
        <v>186.93883277216614</v>
      </c>
      <c r="D99" s="14" t="s">
        <v>53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5"/>
    </row>
    <row r="100" spans="2:21">
      <c r="B100" s="13" t="s">
        <v>155</v>
      </c>
      <c r="C100" s="14">
        <v>0.5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5"/>
    </row>
    <row r="101" spans="2:21">
      <c r="B101" s="13"/>
      <c r="C101" s="14">
        <f>C99*C100</f>
        <v>93.469416386083068</v>
      </c>
      <c r="D101" s="14" t="s">
        <v>53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5"/>
    </row>
    <row r="102" spans="2:21">
      <c r="B102" s="13" t="s">
        <v>156</v>
      </c>
      <c r="C102" s="14">
        <v>0.8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5"/>
    </row>
    <row r="103" spans="2:21">
      <c r="B103" s="13" t="s">
        <v>157</v>
      </c>
      <c r="C103" s="14">
        <f>C101*C102</f>
        <v>74.775533108866455</v>
      </c>
      <c r="D103" s="14" t="s">
        <v>53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5"/>
    </row>
    <row r="104" spans="2:21"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5"/>
    </row>
    <row r="105" spans="2:21"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5"/>
    </row>
    <row r="106" spans="2:21"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5"/>
    </row>
    <row r="107" spans="2:21">
      <c r="B107" s="1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5"/>
    </row>
    <row r="108" spans="2:21">
      <c r="B108" s="13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5"/>
    </row>
    <row r="109" spans="2:21">
      <c r="B109" s="13" t="s">
        <v>159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5"/>
    </row>
    <row r="110" spans="2:21">
      <c r="B110" s="13" t="s">
        <v>162</v>
      </c>
      <c r="C110" s="14">
        <v>750</v>
      </c>
      <c r="D110" s="14" t="s">
        <v>163</v>
      </c>
      <c r="E110" s="14"/>
      <c r="F110" s="14"/>
      <c r="G110" s="14"/>
      <c r="H110" s="14"/>
      <c r="I110" s="14"/>
      <c r="J110" s="14"/>
      <c r="K110" s="14"/>
      <c r="L110" s="14"/>
      <c r="M110" s="14" t="s">
        <v>164</v>
      </c>
      <c r="N110" s="14"/>
      <c r="O110" s="14"/>
      <c r="P110" s="14" t="s">
        <v>165</v>
      </c>
      <c r="Q110" s="14"/>
      <c r="R110" s="14"/>
      <c r="S110" s="14"/>
      <c r="T110" s="14"/>
      <c r="U110" s="15"/>
    </row>
    <row r="111" spans="2:21"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 t="s">
        <v>167</v>
      </c>
      <c r="N111" s="14"/>
      <c r="O111" s="14"/>
      <c r="P111" s="14"/>
      <c r="Q111" s="14"/>
      <c r="R111" s="14"/>
      <c r="S111" s="14"/>
      <c r="T111" s="14"/>
      <c r="U111" s="15"/>
    </row>
    <row r="112" spans="2:21">
      <c r="B112" s="13"/>
      <c r="C112" s="14" t="s">
        <v>168</v>
      </c>
      <c r="D112" s="14" t="s">
        <v>169</v>
      </c>
      <c r="E112" s="14"/>
      <c r="F112" s="14"/>
      <c r="G112" s="14"/>
      <c r="H112" s="14"/>
      <c r="I112" s="14"/>
      <c r="J112" s="14"/>
      <c r="K112" s="14"/>
      <c r="L112" s="14"/>
      <c r="M112" s="14" t="s">
        <v>170</v>
      </c>
      <c r="N112" s="14" t="s">
        <v>53</v>
      </c>
      <c r="O112" s="14"/>
      <c r="P112" s="14" t="s">
        <v>171</v>
      </c>
      <c r="Q112" s="14" t="s">
        <v>172</v>
      </c>
      <c r="R112" s="14" t="s">
        <v>173</v>
      </c>
      <c r="S112" s="14"/>
      <c r="T112" s="14"/>
      <c r="U112" s="15"/>
    </row>
    <row r="113" spans="2:21">
      <c r="B113" s="13" t="s">
        <v>174</v>
      </c>
      <c r="C113" s="14">
        <f>$C$6*(1-$C$7)</f>
        <v>5000</v>
      </c>
      <c r="D113" s="14">
        <f>C113*$C$110</f>
        <v>3750000</v>
      </c>
      <c r="E113" s="14"/>
      <c r="F113" s="14"/>
      <c r="G113" s="14"/>
      <c r="H113" s="14"/>
      <c r="I113" s="14"/>
      <c r="J113" s="14"/>
      <c r="K113" s="14"/>
      <c r="L113" s="14"/>
      <c r="M113" s="14">
        <v>0.155</v>
      </c>
      <c r="N113" s="14">
        <f>M113*D113/1000</f>
        <v>581.25</v>
      </c>
      <c r="O113" s="14"/>
      <c r="P113" s="14">
        <v>12</v>
      </c>
      <c r="Q113" s="14">
        <f>N113*P113*24</f>
        <v>167400</v>
      </c>
      <c r="R113" s="14">
        <f>Q113/$C$23</f>
        <v>79714.28571428571</v>
      </c>
      <c r="S113" s="14"/>
      <c r="T113" s="14">
        <f>R113*$J$60</f>
        <v>16740</v>
      </c>
      <c r="U113" s="15"/>
    </row>
    <row r="114" spans="2:21">
      <c r="B114" s="13" t="s">
        <v>175</v>
      </c>
      <c r="C114" s="14">
        <f>$C$6*$C$7</f>
        <v>5000</v>
      </c>
      <c r="D114" s="14">
        <f>C114*C110</f>
        <v>3750000</v>
      </c>
      <c r="E114" s="14"/>
      <c r="F114" s="14"/>
      <c r="G114" s="14"/>
      <c r="H114" s="14"/>
      <c r="I114" s="14"/>
      <c r="J114" s="14"/>
      <c r="K114" s="14"/>
      <c r="L114" s="14"/>
      <c r="M114" s="14">
        <v>0.31</v>
      </c>
      <c r="N114" s="14">
        <f>M114*D114/1000</f>
        <v>1162.5</v>
      </c>
      <c r="O114" s="14"/>
      <c r="P114" s="14">
        <v>10</v>
      </c>
      <c r="Q114" s="14">
        <f>N113*P114*24</f>
        <v>139500</v>
      </c>
      <c r="R114" s="14">
        <f>Q114/$C$23</f>
        <v>66428.57142857142</v>
      </c>
      <c r="S114" s="14"/>
      <c r="T114" s="14">
        <f>R114*$J$60</f>
        <v>13949.999999999998</v>
      </c>
      <c r="U114" s="15"/>
    </row>
    <row r="115" spans="2:21">
      <c r="B115" s="13"/>
      <c r="C115" s="14"/>
      <c r="D115" s="14">
        <f>D113+D114</f>
        <v>7500000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>
        <v>9</v>
      </c>
      <c r="Q115" s="14">
        <f>N114*P115*24</f>
        <v>251100</v>
      </c>
      <c r="R115" s="14">
        <f>Q115/$C$23</f>
        <v>119571.42857142857</v>
      </c>
      <c r="S115" s="14"/>
      <c r="T115" s="14">
        <f>R115*$J$60</f>
        <v>25109.999999999996</v>
      </c>
      <c r="U115" s="15"/>
    </row>
    <row r="116" spans="2:21"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7</v>
      </c>
      <c r="Q116" s="14">
        <f>N114*P116*24</f>
        <v>195300</v>
      </c>
      <c r="R116" s="14">
        <f>Q116/$C$23</f>
        <v>93000</v>
      </c>
      <c r="S116" s="14"/>
      <c r="T116" s="14">
        <f>R116*$J$60</f>
        <v>19530</v>
      </c>
      <c r="U116" s="15"/>
    </row>
    <row r="117" spans="2:21"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 t="s">
        <v>164</v>
      </c>
      <c r="N117" s="14"/>
      <c r="O117" s="14"/>
      <c r="P117" s="14"/>
      <c r="Q117" s="14"/>
      <c r="R117" s="14"/>
      <c r="S117" s="14"/>
      <c r="T117" s="14"/>
      <c r="U117" s="15"/>
    </row>
    <row r="118" spans="2:21">
      <c r="B118" s="13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 t="s">
        <v>167</v>
      </c>
      <c r="N118" s="14"/>
      <c r="O118" s="14"/>
      <c r="P118" s="14" t="s">
        <v>165</v>
      </c>
      <c r="Q118" s="14"/>
      <c r="R118" s="14"/>
      <c r="S118" s="14"/>
      <c r="T118" s="14"/>
      <c r="U118" s="15"/>
    </row>
    <row r="119" spans="2:21"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 t="s">
        <v>170</v>
      </c>
      <c r="N119" s="14" t="s">
        <v>53</v>
      </c>
      <c r="O119" s="14"/>
      <c r="P119" s="14" t="s">
        <v>171</v>
      </c>
      <c r="Q119" s="14" t="s">
        <v>172</v>
      </c>
      <c r="R119" s="14" t="s">
        <v>173</v>
      </c>
      <c r="S119" s="14"/>
      <c r="T119" s="14"/>
      <c r="U119" s="15"/>
    </row>
    <row r="120" spans="2:21">
      <c r="B120" s="13" t="s">
        <v>174</v>
      </c>
      <c r="C120" s="14">
        <f>$C$6*(1-$C$7)</f>
        <v>5000</v>
      </c>
      <c r="D120" s="14">
        <f>C120*$C$110</f>
        <v>3750000</v>
      </c>
      <c r="E120" s="14"/>
      <c r="F120" s="14"/>
      <c r="G120" s="14"/>
      <c r="H120" s="14"/>
      <c r="I120" s="14"/>
      <c r="J120" s="14"/>
      <c r="K120" s="14"/>
      <c r="L120" s="14"/>
      <c r="M120" s="14">
        <v>0.23300000000000001</v>
      </c>
      <c r="N120" s="14">
        <f>M120*D120/1000</f>
        <v>873.75</v>
      </c>
      <c r="O120" s="14"/>
      <c r="P120" s="14">
        <v>12</v>
      </c>
      <c r="Q120" s="14">
        <f>N120*P120*24</f>
        <v>251640</v>
      </c>
      <c r="R120" s="14">
        <f>Q120/$C$23</f>
        <v>119828.57142857142</v>
      </c>
      <c r="S120" s="14"/>
      <c r="T120" s="14">
        <f>R120*$J$60</f>
        <v>25163.999999999996</v>
      </c>
      <c r="U120" s="15"/>
    </row>
    <row r="121" spans="2:21">
      <c r="B121" s="13" t="s">
        <v>175</v>
      </c>
      <c r="C121" s="14">
        <f>$C$6*$C$7</f>
        <v>5000</v>
      </c>
      <c r="D121" s="14">
        <f>C121*$C$110</f>
        <v>3750000</v>
      </c>
      <c r="E121" s="14"/>
      <c r="F121" s="14"/>
      <c r="G121" s="14"/>
      <c r="H121" s="14"/>
      <c r="I121" s="14"/>
      <c r="J121" s="14"/>
      <c r="K121" s="14"/>
      <c r="L121" s="14"/>
      <c r="M121" s="14">
        <v>0.46500000000000002</v>
      </c>
      <c r="N121" s="14">
        <f>M121*D121/1000</f>
        <v>1743.75</v>
      </c>
      <c r="O121" s="14"/>
      <c r="P121" s="14">
        <v>10</v>
      </c>
      <c r="Q121" s="14">
        <f>N120*P121*24</f>
        <v>209700</v>
      </c>
      <c r="R121" s="14">
        <f>Q121/$C$23</f>
        <v>99857.142857142855</v>
      </c>
      <c r="S121" s="14"/>
      <c r="T121" s="14">
        <f>R121*$J$60</f>
        <v>20970</v>
      </c>
      <c r="U121" s="15"/>
    </row>
    <row r="122" spans="2:21">
      <c r="B122" s="1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>
        <f>N120+N121</f>
        <v>2617.5</v>
      </c>
      <c r="O122" s="14"/>
      <c r="P122" s="14">
        <v>9</v>
      </c>
      <c r="Q122" s="14">
        <f>N121*P122*24</f>
        <v>376650</v>
      </c>
      <c r="R122" s="14">
        <f>Q122/$C$23</f>
        <v>179357.14285714284</v>
      </c>
      <c r="S122" s="14"/>
      <c r="T122" s="14">
        <f>R122*$J$60</f>
        <v>37664.999999999993</v>
      </c>
      <c r="U122" s="15"/>
    </row>
    <row r="123" spans="2:21"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>
        <v>7</v>
      </c>
      <c r="Q123" s="14">
        <f>N121*P123*24</f>
        <v>292950</v>
      </c>
      <c r="R123" s="14">
        <f>Q123/$C$23</f>
        <v>139500</v>
      </c>
      <c r="S123" s="14"/>
      <c r="T123" s="14">
        <f>R123*$J$60</f>
        <v>29295</v>
      </c>
      <c r="U123" s="15"/>
    </row>
    <row r="124" spans="2:21">
      <c r="B124" s="1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5"/>
    </row>
    <row r="125" spans="2:21"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5"/>
    </row>
    <row r="126" spans="2:21">
      <c r="B126" s="1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 t="s">
        <v>176</v>
      </c>
      <c r="Q126" s="14"/>
      <c r="R126" s="14"/>
      <c r="S126" s="14"/>
      <c r="T126" s="14"/>
      <c r="U126" s="15"/>
    </row>
    <row r="127" spans="2:21">
      <c r="B127" s="1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 t="s">
        <v>165</v>
      </c>
      <c r="Q127" s="14"/>
      <c r="R127" s="14"/>
      <c r="S127" s="14"/>
      <c r="T127" s="14"/>
      <c r="U127" s="15"/>
    </row>
    <row r="128" spans="2:21">
      <c r="B128" s="13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 t="s">
        <v>171</v>
      </c>
      <c r="Q128" s="14" t="s">
        <v>172</v>
      </c>
      <c r="R128" s="14" t="s">
        <v>173</v>
      </c>
      <c r="S128" s="14"/>
      <c r="T128" s="14"/>
      <c r="U128" s="15"/>
    </row>
    <row r="129" spans="2:21"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>
        <v>12</v>
      </c>
      <c r="Q129" s="14">
        <f>AVERAGE(Q113,Q120)</f>
        <v>209520</v>
      </c>
      <c r="R129" s="14">
        <f>Q129/$C$23</f>
        <v>99771.428571428565</v>
      </c>
      <c r="S129" s="14"/>
      <c r="T129" s="14">
        <f>R129*$J$60</f>
        <v>20951.999999999996</v>
      </c>
      <c r="U129" s="15"/>
    </row>
    <row r="130" spans="2:21">
      <c r="B130" s="13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>
        <v>10</v>
      </c>
      <c r="Q130" s="14">
        <f>AVERAGE(Q114,Q121)</f>
        <v>174600</v>
      </c>
      <c r="R130" s="14">
        <f>Q130/$C$23</f>
        <v>83142.857142857145</v>
      </c>
      <c r="S130" s="14"/>
      <c r="T130" s="14">
        <f>R130*$J$60</f>
        <v>17460</v>
      </c>
      <c r="U130" s="15"/>
    </row>
    <row r="131" spans="2:21">
      <c r="B131" s="1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>
        <v>9</v>
      </c>
      <c r="Q131" s="14">
        <f>AVERAGE(Q115,Q122)</f>
        <v>313875</v>
      </c>
      <c r="R131" s="14">
        <f>Q131/$C$23</f>
        <v>149464.28571428571</v>
      </c>
      <c r="S131" s="14"/>
      <c r="T131" s="14">
        <f>R131*$J$60</f>
        <v>31387.499999999996</v>
      </c>
      <c r="U131" s="15"/>
    </row>
    <row r="132" spans="2:21">
      <c r="B132" s="13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>
        <v>7</v>
      </c>
      <c r="Q132" s="14">
        <f>AVERAGE(Q116,Q123)</f>
        <v>244125</v>
      </c>
      <c r="R132" s="14">
        <f>Q132/$C$23</f>
        <v>116250</v>
      </c>
      <c r="S132" s="14"/>
      <c r="T132" s="14">
        <f>R132*$J$60</f>
        <v>24412.5</v>
      </c>
      <c r="U132" s="15"/>
    </row>
    <row r="133" spans="2:21">
      <c r="B133" s="1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5"/>
    </row>
    <row r="134" spans="2:21">
      <c r="B134" s="13" t="s">
        <v>177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5"/>
    </row>
    <row r="135" spans="2:21">
      <c r="B135" s="13" t="s">
        <v>178</v>
      </c>
      <c r="C135" s="14"/>
      <c r="D135" s="14">
        <v>25</v>
      </c>
      <c r="E135" s="14" t="s">
        <v>179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5"/>
    </row>
    <row r="136" spans="2:21">
      <c r="B136" s="13" t="s">
        <v>180</v>
      </c>
      <c r="C136" s="14"/>
      <c r="D136" s="14">
        <v>5</v>
      </c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5"/>
    </row>
    <row r="137" spans="2:21">
      <c r="B137" s="13" t="s">
        <v>181</v>
      </c>
      <c r="C137" s="14"/>
      <c r="D137" s="14">
        <f>SUM(C113:C114)*1000*3.8*(D135-D136)</f>
        <v>760000000</v>
      </c>
      <c r="E137" s="14" t="s">
        <v>182</v>
      </c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5"/>
    </row>
    <row r="138" spans="2:21">
      <c r="B138" s="13"/>
      <c r="C138" s="14"/>
      <c r="D138" s="14">
        <f>D137/1/3600</f>
        <v>211111.11111111112</v>
      </c>
      <c r="E138" s="14" t="s">
        <v>23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5"/>
    </row>
    <row r="139" spans="2:21">
      <c r="B139" s="13" t="s">
        <v>183</v>
      </c>
      <c r="C139" s="14"/>
      <c r="D139" s="14">
        <f>D138/C23</f>
        <v>100529.10052910053</v>
      </c>
      <c r="E139" s="14" t="s">
        <v>50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5"/>
    </row>
    <row r="140" spans="2:21">
      <c r="B140" s="13" t="s">
        <v>184</v>
      </c>
      <c r="C140" s="14"/>
      <c r="D140" s="14">
        <f>D139*C18</f>
        <v>21111.111111111109</v>
      </c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5"/>
    </row>
    <row r="141" spans="2:21">
      <c r="B141" s="13" t="s">
        <v>185</v>
      </c>
      <c r="C141" s="14"/>
      <c r="D141" s="14">
        <f>D140/D115</f>
        <v>2.8148148148148147E-3</v>
      </c>
      <c r="E141" s="14" t="s">
        <v>186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5"/>
    </row>
    <row r="142" spans="2:21">
      <c r="B142" s="13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5"/>
    </row>
    <row r="143" spans="2:21">
      <c r="B143" s="1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5"/>
    </row>
    <row r="144" spans="2:21">
      <c r="B144" s="13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5"/>
    </row>
    <row r="145" spans="2:21">
      <c r="B145" s="1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5"/>
    </row>
    <row r="146" spans="2:21">
      <c r="B146" s="13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5"/>
    </row>
    <row r="147" spans="2:21">
      <c r="B147" s="1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5"/>
    </row>
    <row r="148" spans="2:21">
      <c r="B148" s="13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5"/>
    </row>
    <row r="149" spans="2:21">
      <c r="B149" s="13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5"/>
    </row>
    <row r="150" spans="2:21">
      <c r="B150" s="13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5"/>
    </row>
    <row r="151" spans="2:21"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5"/>
    </row>
    <row r="152" spans="2:21">
      <c r="B152" s="13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5"/>
    </row>
    <row r="153" spans="2:21"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5"/>
    </row>
    <row r="154" spans="2:21">
      <c r="B154" s="16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Bioenergy Calculator</vt:lpstr>
    </vt:vector>
  </TitlesOfParts>
  <Company>The Australian Wine Research Institute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neil.scrimgeour</dc:creator>
  <cp:lastModifiedBy>Richard Muhlack</cp:lastModifiedBy>
  <dcterms:created xsi:type="dcterms:W3CDTF">2012-04-11T03:14:29Z</dcterms:created>
  <dcterms:modified xsi:type="dcterms:W3CDTF">2013-09-02T01:57:31Z</dcterms:modified>
</cp:coreProperties>
</file>